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20115" windowHeight="7275" tabRatio="910" firstSheet="30" activeTab="30"/>
  </bookViews>
  <sheets>
    <sheet name="Tổng Thu DVMTR" sheetId="1" state="hidden" r:id="rId1"/>
    <sheet name="Bieu 05" sheetId="2" state="hidden" r:id="rId2"/>
    <sheet name="Bieu 06" sheetId="3" state="hidden" r:id="rId3"/>
    <sheet name="Bieu 07" sheetId="4" state="hidden" r:id="rId4"/>
    <sheet name="Bieu 08" sheetId="5" state="hidden" r:id="rId5"/>
    <sheet name="Thu 2011+2012+2013" sheetId="6" state="hidden" r:id="rId6"/>
    <sheet name="Bieu 02" sheetId="7" state="hidden" r:id="rId7"/>
    <sheet name="Bieu 9" sheetId="8" state="hidden" r:id="rId8"/>
    <sheet name="Chi 2011+2012+2013" sheetId="9" state="hidden" r:id="rId9"/>
    <sheet name="Chi 2011,2012" sheetId="10" state="hidden" r:id="rId10"/>
    <sheet name="Bieu 10" sheetId="11" state="hidden" r:id="rId11"/>
    <sheet name="Chi 2013" sheetId="12" state="hidden" r:id="rId12"/>
    <sheet name="Bieu 11" sheetId="13" state="hidden" r:id="rId13"/>
    <sheet name="Thong ke vi pham" sheetId="14" state="hidden" r:id="rId14"/>
    <sheet name="Bieu 13" sheetId="15" state="hidden" r:id="rId15"/>
    <sheet name="TG" sheetId="16" state="hidden" r:id="rId16"/>
    <sheet name="TH TG" sheetId="17" state="hidden" r:id="rId17"/>
    <sheet name="Dien tich rưng" sheetId="18" state="hidden" r:id="rId18"/>
    <sheet name="TH su tham gia" sheetId="19" state="hidden" r:id="rId19"/>
    <sheet name="Thông Ke sô Ho, CD duoc nhan " sheetId="20" state="hidden" r:id="rId20"/>
    <sheet name="TN BQ  ho nhan khoan" sheetId="21" state="hidden" r:id="rId21"/>
    <sheet name="Thu nhap" sheetId="22" state="hidden" r:id="rId22"/>
    <sheet name="Bieu 2" sheetId="23" state="hidden" r:id="rId23"/>
    <sheet name="Bieu he thong Quyc" sheetId="24" state="hidden" r:id="rId24"/>
    <sheet name="Bieu HD" sheetId="25" state="hidden" r:id="rId25"/>
    <sheet name="Thong ke đơn gia" sheetId="26" state="hidden" r:id="rId26"/>
    <sheet name="Thong ke Ho" sheetId="27" state="hidden" r:id="rId27"/>
    <sheet name="Bieu CTy LN" sheetId="28" state="hidden" r:id="rId28"/>
    <sheet name="TK doi tuong chi" sheetId="29" state="hidden" r:id="rId29"/>
    <sheet name="KQ thu 2011-2014 toan quoc (2)" sheetId="30" state="hidden" r:id="rId30"/>
    <sheet name="01.2016" sheetId="31" r:id="rId31"/>
    <sheet name="02.2016" sheetId="32" r:id="rId32"/>
    <sheet name="03.2016" sheetId="33" r:id="rId33"/>
    <sheet name="04.2016" sheetId="34" r:id="rId34"/>
    <sheet name="05.2016" sheetId="35" r:id="rId35"/>
    <sheet name="06.2016" sheetId="36" r:id="rId36"/>
    <sheet name="07.2015" sheetId="37" r:id="rId37"/>
    <sheet name="08.2015" sheetId="38" r:id="rId38"/>
    <sheet name="9.2016" sheetId="39" r:id="rId39"/>
  </sheets>
  <definedNames>
    <definedName name="_xlnm.Print_Titles" localSheetId="1">'Bieu 05'!$2:$4</definedName>
    <definedName name="_xlnm.Print_Titles" localSheetId="2">'Bieu 06'!$A:$B</definedName>
    <definedName name="_xlnm.Print_Titles" localSheetId="3">'Bieu 07'!$A:$B</definedName>
    <definedName name="_xlnm.Print_Titles" localSheetId="10">'Bieu 10'!$A:$B</definedName>
    <definedName name="_xlnm.Print_Titles" localSheetId="7">'Bieu 9'!$A:$B</definedName>
    <definedName name="_xlnm.Print_Titles" localSheetId="9">'Chi 2011,2012'!$A:$B</definedName>
    <definedName name="_xlnm.Print_Titles" localSheetId="11">'Chi 2013'!$A:$B</definedName>
  </definedNames>
  <calcPr fullCalcOnLoad="1"/>
</workbook>
</file>

<file path=xl/comments10.xml><?xml version="1.0" encoding="utf-8"?>
<comments xmlns="http://schemas.openxmlformats.org/spreadsheetml/2006/main">
  <authors>
    <author>QBVR</author>
  </authors>
  <commentList>
    <comment ref="H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Lãi phát sinh tháng 10/2012, chưa nhập tăng nguồn</t>
        </r>
      </text>
    </comment>
    <comment ref="J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trong năm 2013</t>
        </r>
      </text>
    </comment>
    <comment ref="P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Mang sang 2013</t>
        </r>
      </text>
    </comment>
    <comment ref="S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Không xác định được chủ rừng, cộng nguồn thu mới 2013 chia đơn giá bq chi trả trong 2014</t>
        </r>
      </text>
    </comment>
    <comment ref="S1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Đang tiếp tục rà soát</t>
        </r>
      </text>
    </comment>
    <comment ref="J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550000 xây dựng dự án</t>
        </r>
      </text>
    </comment>
    <comment ref="S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Diện tích nghiệm thu giảm so với KH, chuyển năm sau</t>
        </r>
      </text>
    </comment>
  </commentList>
</comments>
</file>

<file path=xl/comments11.xml><?xml version="1.0" encoding="utf-8"?>
<comments xmlns="http://schemas.openxmlformats.org/spreadsheetml/2006/main">
  <authors>
    <author>QBVR</author>
  </authors>
  <commentList>
    <comment ref="T2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BQL A vuong</t>
        </r>
      </text>
    </comment>
    <comment ref="AN1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rà soát</t>
        </r>
      </text>
    </comment>
    <comment ref="J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531.775 sửa nhà làm việc</t>
        </r>
      </text>
    </comment>
    <comment ref="C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Thu 2013</t>
        </r>
      </text>
    </comment>
    <comment ref="AA1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khoán </t>
        </r>
      </text>
    </comment>
    <comment ref="L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bổ sung hộ nhận khoán để đạt 200k/ha</t>
        </r>
      </text>
    </comment>
    <comment ref="AN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Diện tích nghiệm thu giảm so với KH, chuyển năm sau</t>
        </r>
      </text>
    </comment>
    <comment ref="W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xác định</t>
        </r>
      </text>
    </comment>
    <comment ref="C2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Bao gồm 3 tỷ TW điều phối 2012</t>
        </r>
      </text>
    </comment>
    <comment ref="Z2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hộ, cộng đồng 4 thôn</t>
        </r>
      </text>
    </comment>
    <comment ref="C2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Gộp tiền thu được trong năm 2012</t>
        </r>
      </text>
    </comment>
    <comment ref="K2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 từ tiền GP mặt bằng và nước sạch)</t>
        </r>
      </text>
    </comment>
    <comment ref="K2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Trồng cây phân tán, kinh phí từ nước</t>
        </r>
      </text>
    </comment>
    <comment ref="X4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264.451 chi cho Hạt KL</t>
        </r>
      </text>
    </comment>
  </commentList>
</comments>
</file>

<file path=xl/comments12.xml><?xml version="1.0" encoding="utf-8"?>
<comments xmlns="http://schemas.openxmlformats.org/spreadsheetml/2006/main">
  <authors>
    <author>QBVR</author>
  </authors>
  <commentList>
    <comment ref="C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Thu 2013</t>
        </r>
      </text>
    </comment>
    <comment ref="J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531.775 sửa nhà làm việc</t>
        </r>
      </text>
    </comment>
    <comment ref="S1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rà soát</t>
        </r>
      </text>
    </comment>
    <comment ref="C2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Bao gồm 3 tỷ TW điều phối 2012</t>
        </r>
      </text>
    </comment>
    <comment ref="C2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Gộp tiền thu được trong năm 2012</t>
        </r>
      </text>
    </comment>
    <comment ref="K2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 từ tiền GP mặt bằng và nước sạch)</t>
        </r>
      </text>
    </comment>
    <comment ref="K2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Trồng cây phân tán, kinh phí từ nước</t>
        </r>
      </text>
    </comment>
    <comment ref="L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bổ sung hộ nhận khoán để đạt 200k/ha</t>
        </r>
      </text>
    </comment>
    <comment ref="S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Diện tích nghiệm thu giảm so với KH, chuyển năm sau</t>
        </r>
      </text>
    </comment>
  </commentList>
</comments>
</file>

<file path=xl/comments13.xml><?xml version="1.0" encoding="utf-8"?>
<comments xmlns="http://schemas.openxmlformats.org/spreadsheetml/2006/main">
  <authors>
    <author>QBVR</author>
  </authors>
  <commentList>
    <comment ref="C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Thu 2013</t>
        </r>
      </text>
    </comment>
    <comment ref="G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Đang tiếp tục rà soát</t>
        </r>
      </text>
    </comment>
    <comment ref="J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531.775 sửa nhà làm việc</t>
        </r>
      </text>
    </comment>
    <comment ref="G14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Cộng kinh phí năm trước chuyển sang</t>
        </r>
      </text>
    </comment>
    <comment ref="AN1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rà soát</t>
        </r>
      </text>
    </comment>
    <comment ref="L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bổ sung hộ nhận khoán để đạt 200k/ha</t>
        </r>
      </text>
    </comment>
    <comment ref="AN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Diện tích nghiệm thu giảm so với KH, chuyển năm sau</t>
        </r>
      </text>
    </comment>
    <comment ref="W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thống kê</t>
        </r>
      </text>
    </comment>
    <comment ref="Z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Cộng đồng</t>
        </r>
      </text>
    </comment>
  </commentList>
</comments>
</file>

<file path=xl/comments15.xml><?xml version="1.0" encoding="utf-8"?>
<comments xmlns="http://schemas.openxmlformats.org/spreadsheetml/2006/main">
  <authors>
    <author>QBVR</author>
  </authors>
  <commentList>
    <comment ref="L1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133.130 ha thuộc lưu vực Chiêm Hóa chưa rà soát</t>
        </r>
      </text>
    </comment>
    <comment ref="L3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133.130 ha thuộc lưu vực Chiêm Hóa chưa rà soát</t>
        </r>
      </text>
    </comment>
    <comment ref="U3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Diện tích có cung ứng DV là 201.576,85ha nhưng chỉ chi trả 177.281, số còn lại chi từ nguồn khác</t>
        </r>
      </text>
    </comment>
  </commentList>
</comments>
</file>

<file path=xl/comments16.xml><?xml version="1.0" encoding="utf-8"?>
<comments xmlns="http://schemas.openxmlformats.org/spreadsheetml/2006/main">
  <authors>
    <author>QBVR</author>
  </authors>
  <commentList>
    <comment ref="H1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trả vào KH 2013</t>
        </r>
      </text>
    </comment>
    <comment ref="U1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trả vào KH 2013</t>
        </r>
      </text>
    </comment>
    <comment ref="AH1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trả vào KH 2013</t>
        </r>
      </text>
    </comment>
  </commentList>
</comments>
</file>

<file path=xl/comments17.xml><?xml version="1.0" encoding="utf-8"?>
<comments xmlns="http://schemas.openxmlformats.org/spreadsheetml/2006/main">
  <authors>
    <author>QBVR</author>
  </authors>
  <commentList>
    <comment ref="M14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nhóm hộ; 637, cộng đồng:300</t>
        </r>
      </text>
    </comment>
    <comment ref="Q2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có hồ sơ</t>
        </r>
      </text>
    </comment>
    <comment ref="AF4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16 Đơn vị cộng đồng, không có hộ</t>
        </r>
      </text>
    </comment>
  </commentList>
</comments>
</file>

<file path=xl/comments23.xml><?xml version="1.0" encoding="utf-8"?>
<comments xmlns="http://schemas.openxmlformats.org/spreadsheetml/2006/main">
  <authors>
    <author>QBVR</author>
  </authors>
  <commentList>
    <comment ref="C3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Kiện toàn theo QĐ 894/QĐ-UBND, 7/5/2014</t>
        </r>
      </text>
    </comment>
    <comment ref="I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Viên chức</t>
        </r>
      </text>
    </comment>
  </commentList>
</comments>
</file>

<file path=xl/comments25.xml><?xml version="1.0" encoding="utf-8"?>
<comments xmlns="http://schemas.openxmlformats.org/spreadsheetml/2006/main">
  <authors>
    <author>QBVR</author>
  </authors>
  <commentList>
    <comment ref="C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21 đơn vị</t>
        </r>
      </text>
    </comment>
    <comment ref="E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Lập đề án tự chi trả</t>
        </r>
      </text>
    </comment>
  </commentList>
</comments>
</file>

<file path=xl/comments27.xml><?xml version="1.0" encoding="utf-8"?>
<comments xmlns="http://schemas.openxmlformats.org/spreadsheetml/2006/main">
  <authors>
    <author>QBVR</author>
  </authors>
  <commentList>
    <comment ref="U34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Khoan</t>
        </r>
      </text>
    </comment>
    <comment ref="J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8 chủ rừng khoán cho xóm 163 hộ đứng đại diện</t>
        </r>
      </text>
    </comment>
    <comment ref="AJ3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Hộ + CĐ dân cư</t>
        </r>
      </text>
    </comment>
    <comment ref="J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xác định</t>
        </r>
      </text>
    </comment>
    <comment ref="J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rà soát</t>
        </r>
      </text>
    </comment>
    <comment ref="I1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Đang thống kê danh sách</t>
        </r>
      </text>
    </comment>
  </commentList>
</comments>
</file>

<file path=xl/comments29.xml><?xml version="1.0" encoding="utf-8"?>
<comments xmlns="http://schemas.openxmlformats.org/spreadsheetml/2006/main">
  <authors>
    <author>QBVR</author>
  </authors>
  <commentList>
    <comment ref="G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2011-2013</t>
        </r>
      </text>
    </comment>
    <comment ref="G1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2011-2013</t>
        </r>
      </text>
    </comment>
  </commentList>
</comments>
</file>

<file path=xl/comments3.xml><?xml version="1.0" encoding="utf-8"?>
<comments xmlns="http://schemas.openxmlformats.org/spreadsheetml/2006/main">
  <authors>
    <author>QBVR</author>
  </authors>
  <commentList>
    <comment ref="H7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Lãi phát sinh tháng 10/2012, chưa nhập tăng nguồn</t>
        </r>
      </text>
    </comment>
    <comment ref="J7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trong năm 2013</t>
        </r>
      </text>
    </comment>
    <comment ref="J1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550000 xây dựng dự án</t>
        </r>
      </text>
    </comment>
    <comment ref="J23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Bao cao cu k co</t>
        </r>
      </text>
    </comment>
    <comment ref="I2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Bao cao cu 54.167</t>
        </r>
      </text>
    </comment>
    <comment ref="I24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Bao cao cu khong co</t>
        </r>
      </text>
    </comment>
    <comment ref="I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Đã check lai với tỉnh</t>
        </r>
      </text>
    </comment>
  </commentList>
</comments>
</file>

<file path=xl/comments30.xml><?xml version="1.0" encoding="utf-8"?>
<comments xmlns="http://schemas.openxmlformats.org/spreadsheetml/2006/main">
  <authors>
    <author>QBVR</author>
  </authors>
  <commentList>
    <comment ref="D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220.370 tiền thu theo QĐ 380
11.379,6 ND99</t>
        </r>
      </text>
    </comment>
  </commentList>
</comments>
</file>

<file path=xl/comments4.xml><?xml version="1.0" encoding="utf-8"?>
<comments xmlns="http://schemas.openxmlformats.org/spreadsheetml/2006/main">
  <authors>
    <author>QBVR</author>
  </authors>
  <commentList>
    <comment ref="I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cũ 2746 ( do báo cáo cả phần chưa thu được)</t>
        </r>
      </text>
    </comment>
    <comment ref="I13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truoc 17.852 ( bao cao cả phan TW điều phối)</t>
        </r>
      </text>
    </comment>
    <comment ref="I2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Thu theo KH 2013, BC cu 438</t>
        </r>
      </text>
    </comment>
    <comment ref="I2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 cu 34.973</t>
        </r>
      </text>
    </comment>
    <comment ref="I2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 khong co</t>
        </r>
      </text>
    </comment>
    <comment ref="I23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cu; 4.752</t>
        </r>
      </text>
    </comment>
    <comment ref="I2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cu: 34.240</t>
        </r>
      </text>
    </comment>
    <comment ref="I27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 khong co</t>
        </r>
      </text>
    </comment>
    <comment ref="I3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 966</t>
        </r>
      </text>
    </comment>
    <comment ref="I35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cu: 2.572</t>
        </r>
      </text>
    </comment>
    <comment ref="I3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 : 22.809, đã check</t>
        </r>
      </text>
    </comment>
    <comment ref="I37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cu: 22.085</t>
        </r>
      </text>
    </comment>
    <comment ref="I3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cu: 38.236</t>
        </r>
      </text>
    </comment>
    <comment ref="I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BC cu 13.775, da check xac nhan</t>
        </r>
      </text>
    </comment>
  </commentList>
</comments>
</file>

<file path=xl/comments6.xml><?xml version="1.0" encoding="utf-8"?>
<comments xmlns="http://schemas.openxmlformats.org/spreadsheetml/2006/main">
  <authors>
    <author>QBVR</author>
  </authors>
  <commentList>
    <comment ref="H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Lãi phát sinh tháng 10/2012, chưa nhập tăng nguồn</t>
        </r>
      </text>
    </comment>
    <comment ref="J6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trong năm 2013</t>
        </r>
      </text>
    </comment>
    <comment ref="J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550000 xây dựng dự án</t>
        </r>
      </text>
    </comment>
  </commentList>
</comments>
</file>

<file path=xl/comments8.xml><?xml version="1.0" encoding="utf-8"?>
<comments xmlns="http://schemas.openxmlformats.org/spreadsheetml/2006/main">
  <authors>
    <author>QBVR</author>
  </authors>
  <commentList>
    <comment ref="T28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BQL A vuong</t>
        </r>
      </text>
    </comment>
    <comment ref="J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trong năm 2013</t>
        </r>
      </text>
    </comment>
    <comment ref="AN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Không xác định được chủ rừng, cộng nguồn thu mới 2013 chia đơn giá bq chi trả trong 2014</t>
        </r>
      </text>
    </comment>
    <comment ref="AK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Mang sang 2013</t>
        </r>
      </text>
    </comment>
    <comment ref="AN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Diện tích nghiệm thu giảm so với KH, chuyển năm sau</t>
        </r>
      </text>
    </comment>
    <comment ref="J12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Chi 550000 xây dựng dự án</t>
        </r>
      </text>
    </comment>
    <comment ref="AN11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Đang tiếp tục rà soát</t>
        </r>
      </text>
    </comment>
    <comment ref="H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Lãi phát sinh tháng 10/2012, chưa nhập tăng nguồn</t>
        </r>
      </text>
    </comment>
    <comment ref="AI9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Chưa xác định</t>
        </r>
      </text>
    </comment>
    <comment ref="X40" authorId="0">
      <text>
        <r>
          <rPr>
            <b/>
            <sz val="9"/>
            <rFont val="Tahoma"/>
            <family val="2"/>
          </rPr>
          <t>QBVR:</t>
        </r>
        <r>
          <rPr>
            <sz val="9"/>
            <rFont val="Tahoma"/>
            <family val="2"/>
          </rPr>
          <t xml:space="preserve">
377.766 chi cho Hạt KL làm nhiệm vụ lập hồ sơ, chi trả cho HGĐ</t>
        </r>
      </text>
    </comment>
  </commentList>
</comments>
</file>

<file path=xl/sharedStrings.xml><?xml version="1.0" encoding="utf-8"?>
<sst xmlns="http://schemas.openxmlformats.org/spreadsheetml/2006/main" count="2745" uniqueCount="653">
  <si>
    <t>STT</t>
  </si>
  <si>
    <t>Chỉ tiêu</t>
  </si>
  <si>
    <t xml:space="preserve">Thủy điện </t>
  </si>
  <si>
    <t>Nước sạch</t>
  </si>
  <si>
    <t>Du lịch</t>
  </si>
  <si>
    <t>Chi quản lý</t>
  </si>
  <si>
    <t>Năm 2011</t>
  </si>
  <si>
    <t>Năm 2012</t>
  </si>
  <si>
    <t>Năm 2013</t>
  </si>
  <si>
    <t>A</t>
  </si>
  <si>
    <t>B</t>
  </si>
  <si>
    <t>Thu DVMTR</t>
  </si>
  <si>
    <t>NS hỗ trợ</t>
  </si>
  <si>
    <t>Chi trả cho chủ rừng là tổ chức</t>
  </si>
  <si>
    <t>Chi tự thực hiện</t>
  </si>
  <si>
    <t>Diện tích rừng của toàn tỉnh</t>
  </si>
  <si>
    <t>Ha</t>
  </si>
  <si>
    <t>Của chủ rừng là tổ chức</t>
  </si>
  <si>
    <t>Diện tích tự bảo vệ</t>
  </si>
  <si>
    <t>Diện tích đã khoán</t>
  </si>
  <si>
    <t>Của các các tổ chức không phải là chủ rừng</t>
  </si>
  <si>
    <t>2.1</t>
  </si>
  <si>
    <t>2.2</t>
  </si>
  <si>
    <t>2.3</t>
  </si>
  <si>
    <t>Đơn vị tính</t>
  </si>
  <si>
    <t>Bên sử dụng DVMTR tỉnh ký hợp đồng (nội tỉnh)</t>
  </si>
  <si>
    <t>Bên cung ứng DVMTR</t>
  </si>
  <si>
    <t>Số chủ rừng cam kết BVR</t>
  </si>
  <si>
    <t>Tổ chức</t>
  </si>
  <si>
    <t>Người kinh</t>
  </si>
  <si>
    <t>Người đồng bào, dân tộc khác</t>
  </si>
  <si>
    <t>Nhà máy</t>
  </si>
  <si>
    <t>Công ty</t>
  </si>
  <si>
    <t>- Tổ chức nhà nước</t>
  </si>
  <si>
    <t>- Tổ chức không phải nhà nước</t>
  </si>
  <si>
    <t>Đối tượng</t>
  </si>
  <si>
    <t>Số hộ gia đình, cá nhân nhận khoán BVR</t>
  </si>
  <si>
    <t>Tổ chức không phải chủ rừng được giao trách nhiệm quản lý rừng</t>
  </si>
  <si>
    <t>Diện tích quản lý bảo vệ rừng bình quân/hộ</t>
  </si>
  <si>
    <t>Ha/hộ</t>
  </si>
  <si>
    <t>Đồng/ha/năm</t>
  </si>
  <si>
    <t>Đồng/hộ/năm</t>
  </si>
  <si>
    <t>Đơn giá chi trả bình quân toàn tỉnh</t>
  </si>
  <si>
    <t>Thu nhập bình quân của hộ /năm</t>
  </si>
  <si>
    <t>Đối với hộ gia đình nhận khoán</t>
  </si>
  <si>
    <t xml:space="preserve">           </t>
  </si>
  <si>
    <t>Đối với hộ gia đình là chủ rừng</t>
  </si>
  <si>
    <t>Vụ</t>
  </si>
  <si>
    <t>Số vụ vi phạm trong quản lý, bảo vệ rừng</t>
  </si>
  <si>
    <t>Số vụ cháy rừng</t>
  </si>
  <si>
    <t>1.1</t>
  </si>
  <si>
    <t>1.2</t>
  </si>
  <si>
    <t>Thu nội tỉnh</t>
  </si>
  <si>
    <t>Diện tích rừng có cung ứng DVMTR</t>
  </si>
  <si>
    <t>2.1.1</t>
  </si>
  <si>
    <t>2.1.2</t>
  </si>
  <si>
    <t>1.3</t>
  </si>
  <si>
    <t>Chủ rừng là Tổ chức</t>
  </si>
  <si>
    <t>2.3.1</t>
  </si>
  <si>
    <t>2.3.2</t>
  </si>
  <si>
    <t>Tổng cộng</t>
  </si>
  <si>
    <t>Tây Bắc</t>
  </si>
  <si>
    <t>Đông Bắc</t>
  </si>
  <si>
    <t>Bắc Trung Bộ</t>
  </si>
  <si>
    <t>Nam Trung Bộ</t>
  </si>
  <si>
    <t>Tây Nguyên</t>
  </si>
  <si>
    <t>Đông Nam Bộ</t>
  </si>
  <si>
    <t>Điện Biên</t>
  </si>
  <si>
    <t>Sơn La</t>
  </si>
  <si>
    <t>Lai Châu</t>
  </si>
  <si>
    <t>Hòa Bình</t>
  </si>
  <si>
    <t>Yên Bái</t>
  </si>
  <si>
    <t>Lào Cai</t>
  </si>
  <si>
    <t>Hà Giang</t>
  </si>
  <si>
    <t>Tuyên  Quang</t>
  </si>
  <si>
    <t>Cao Bằng</t>
  </si>
  <si>
    <t>Bắc Kạn</t>
  </si>
  <si>
    <t>Phú Thọ</t>
  </si>
  <si>
    <t>Thanh Hóa</t>
  </si>
  <si>
    <t>Nghệ An</t>
  </si>
  <si>
    <t>Quảng Trị</t>
  </si>
  <si>
    <t>Thừa Thiên Huế</t>
  </si>
  <si>
    <t>Quảng  Nam</t>
  </si>
  <si>
    <t>Phú Yên</t>
  </si>
  <si>
    <t>Bình Định</t>
  </si>
  <si>
    <t>Bình Thuận</t>
  </si>
  <si>
    <t>Ninh Thuận</t>
  </si>
  <si>
    <t>KonTum</t>
  </si>
  <si>
    <t>Đắk Lắk</t>
  </si>
  <si>
    <t>Đắk Nông</t>
  </si>
  <si>
    <t>Gia Lai</t>
  </si>
  <si>
    <t>Lâm Đồng</t>
  </si>
  <si>
    <t>Bình Phước</t>
  </si>
  <si>
    <t>Đồng Nai</t>
  </si>
  <si>
    <t>Thủy điện</t>
  </si>
  <si>
    <t>Trong đó</t>
  </si>
  <si>
    <t>Số tiền
(nghìn đồng)</t>
  </si>
  <si>
    <t>Diện tích 
(ha)</t>
  </si>
  <si>
    <t>Chi trả cho tổ chức không phải chủ rừng</t>
  </si>
  <si>
    <t>Diện tích rừng đã được chi trả
(ha)</t>
  </si>
  <si>
    <t>2</t>
  </si>
  <si>
    <t>3</t>
  </si>
  <si>
    <t>4</t>
  </si>
  <si>
    <t>5</t>
  </si>
  <si>
    <t>14</t>
  </si>
  <si>
    <t>I</t>
  </si>
  <si>
    <t xml:space="preserve">Lai Châu </t>
  </si>
  <si>
    <t>II</t>
  </si>
  <si>
    <t>Tuyên Quang</t>
  </si>
  <si>
    <t>Bắk Kạn</t>
  </si>
  <si>
    <t>III</t>
  </si>
  <si>
    <t>Hà Tĩnh</t>
  </si>
  <si>
    <t>Quảng trị</t>
  </si>
  <si>
    <t>IV</t>
  </si>
  <si>
    <t>Quảng Nam</t>
  </si>
  <si>
    <t>Quảng Ngãi</t>
  </si>
  <si>
    <t xml:space="preserve">Khánh Hòa </t>
  </si>
  <si>
    <t>V</t>
  </si>
  <si>
    <t>VI</t>
  </si>
  <si>
    <t>Tây Ninh</t>
  </si>
  <si>
    <t>Chi trả cho chủ rừng và tổ chức không phải chủ rừng</t>
  </si>
  <si>
    <t>Tổng kinh phí</t>
  </si>
  <si>
    <t>Chi trả cho chủ  rừng và tổ chức không phải chủ rừng</t>
  </si>
  <si>
    <t>Chi trả cho chủ rừng là HGĐ, cá nhận, cộng đồng</t>
  </si>
  <si>
    <t>Số tiền (nghìn đồng)</t>
  </si>
  <si>
    <t>Diện tích (ha)</t>
  </si>
  <si>
    <t xml:space="preserve">Số tiền (nghìn đồng) </t>
  </si>
  <si>
    <t>Chi quản lý chủ rừng (nghìn đồng)</t>
  </si>
  <si>
    <t>Số đã chi</t>
  </si>
  <si>
    <t>Chi quản lý (nghìn đồng)</t>
  </si>
  <si>
    <t>Dự phòng (nghìn đồng)</t>
  </si>
  <si>
    <t>Quỹ tỉnh</t>
  </si>
  <si>
    <t>Chi dự phòng</t>
  </si>
  <si>
    <t>Chi cho chủ rừng và tổ chức không phải chủ rừng</t>
  </si>
  <si>
    <t>7</t>
  </si>
  <si>
    <t>8</t>
  </si>
  <si>
    <t>15</t>
  </si>
  <si>
    <t>16</t>
  </si>
  <si>
    <t>17</t>
  </si>
  <si>
    <t>18</t>
  </si>
  <si>
    <t>19</t>
  </si>
  <si>
    <t>20</t>
  </si>
  <si>
    <t>21</t>
  </si>
  <si>
    <t>Tổng  kinh phí chưa chi</t>
  </si>
  <si>
    <t>Số lượng HGĐ, cá nhân, CĐ dân cư</t>
  </si>
  <si>
    <t>Số lượng chủ rừng</t>
  </si>
  <si>
    <t>Số lượng tổ chức</t>
  </si>
  <si>
    <t xml:space="preserve">Đơn giá chi khoán bình quân </t>
  </si>
  <si>
    <t xml:space="preserve">Đơn giá chi trả bình quân </t>
  </si>
  <si>
    <t>Đơn giá chi khoán bình quân</t>
  </si>
  <si>
    <t>Của chủ rừng là hộ gia đình, cộng đồng</t>
  </si>
  <si>
    <t>Chủ rừng là Hộ gia đình, Cộng đồng</t>
  </si>
  <si>
    <t>Hộ, CĐ</t>
  </si>
  <si>
    <t>Hộ,CĐ</t>
  </si>
  <si>
    <t xml:space="preserve">Dự phòng </t>
  </si>
  <si>
    <t>Khoản kinh phí thu vượt KH chi</t>
  </si>
  <si>
    <t>Số được sử dụng để chi ( nghìn đồng)</t>
  </si>
  <si>
    <t>1=2+3+4+5</t>
  </si>
  <si>
    <t>22</t>
  </si>
  <si>
    <t>23</t>
  </si>
  <si>
    <t>24</t>
  </si>
  <si>
    <t>26</t>
  </si>
  <si>
    <t>Tỷ lệ giải ngân (%</t>
  </si>
  <si>
    <t>Kinh phí còn lại chưa chi (nghìn đồng)</t>
  </si>
  <si>
    <t>Tổng chi (nghìn đồng)</t>
  </si>
  <si>
    <t>Số được sử dụng để chi (nghìn đồng)</t>
  </si>
  <si>
    <t>Tỷ lệ giải ngân tiền chi trả cho chủ rừng (%)</t>
  </si>
  <si>
    <t>Khoản kinh phí thu vượt KH chi, Lãi không phân bổ</t>
  </si>
  <si>
    <t>Khánh Hòa</t>
  </si>
  <si>
    <t>TÌNH HÌNH  TỔ CHỨC BỘ MÁY QUỸ</t>
  </si>
  <si>
    <t>Đã thực hiện cơ chế tự chủ theo NĐ 43 chưa</t>
  </si>
  <si>
    <t>Tổng số cán bộ trong Quỹ</t>
  </si>
  <si>
    <t>Trình độ và năng lực chuyên môn, nghiệp vụ</t>
  </si>
  <si>
    <t>Biên chế</t>
  </si>
  <si>
    <t>Nguồn trả lương</t>
  </si>
  <si>
    <t>Hợp đồng</t>
  </si>
  <si>
    <t>Trung cấp</t>
  </si>
  <si>
    <t>Cao đẳng</t>
  </si>
  <si>
    <t>Đại học</t>
  </si>
  <si>
    <t>Sau Đại học</t>
  </si>
  <si>
    <t>Đơn vị Kiêm nhiệm</t>
  </si>
  <si>
    <t>Chuyên trách/Kiêm nhiệm</t>
  </si>
  <si>
    <t>Cơ quan trực thuộc</t>
  </si>
  <si>
    <t>Quyết định thành lập</t>
  </si>
  <si>
    <t>Tỉnh</t>
  </si>
  <si>
    <t>Tên tỉnh</t>
  </si>
  <si>
    <t>Tình trạng thành lập</t>
  </si>
  <si>
    <t>Ban Chỉ đạo NĐ99</t>
  </si>
  <si>
    <t>Thành lập Quỹ</t>
  </si>
  <si>
    <t>Ban Điều hành</t>
  </si>
  <si>
    <t>Thái Nguyên</t>
  </si>
  <si>
    <t>Lạng Sơn</t>
  </si>
  <si>
    <t>Bắc Giang</t>
  </si>
  <si>
    <t>Vĩnh Phúc</t>
  </si>
  <si>
    <t>Quảng Ninh</t>
  </si>
  <si>
    <t>Hải Phòng</t>
  </si>
  <si>
    <t>VII</t>
  </si>
  <si>
    <t>Kon Tum</t>
  </si>
  <si>
    <t>Hồ Chí Minh</t>
  </si>
  <si>
    <t>Tây Nam Bộ</t>
  </si>
  <si>
    <t>Hậu Giang</t>
  </si>
  <si>
    <t>Kiên Giang</t>
  </si>
  <si>
    <t>Sở NN&amp;PTNT</t>
  </si>
  <si>
    <t>Chuyên trách</t>
  </si>
  <si>
    <t>Số phòng Ban</t>
  </si>
  <si>
    <t>Chi nhánh</t>
  </si>
  <si>
    <t>Số HĐ phải ký</t>
  </si>
  <si>
    <t xml:space="preserve">Số HĐ đã ký </t>
  </si>
  <si>
    <t>Số HĐ còn phải ký</t>
  </si>
  <si>
    <t>CSSX Thủy điện</t>
  </si>
  <si>
    <t>CSSX Nước sạch</t>
  </si>
  <si>
    <t>CSKD Du lịch</t>
  </si>
  <si>
    <t>Tổng</t>
  </si>
  <si>
    <t>Quỹ Trung ương</t>
  </si>
  <si>
    <t>Nội tỉnh</t>
  </si>
  <si>
    <t>Liên tỉnh</t>
  </si>
  <si>
    <t>đã ký</t>
  </si>
  <si>
    <t>Số lượng HGĐ, cá nhân</t>
  </si>
  <si>
    <t>27</t>
  </si>
  <si>
    <t>28</t>
  </si>
  <si>
    <t>29</t>
  </si>
  <si>
    <t>30</t>
  </si>
  <si>
    <t>31</t>
  </si>
  <si>
    <t>32</t>
  </si>
  <si>
    <t>33</t>
  </si>
  <si>
    <t>Chi hỗ trợ ctr dự án, trồng cây phân tán</t>
  </si>
  <si>
    <t>14/QĐ-UBND, 14/9/2012</t>
  </si>
  <si>
    <t>1023/QĐ-UBND,30/7/2009</t>
  </si>
  <si>
    <t>Chi hỗ trợ chương trình, dự án; trồng cây phân tán</t>
  </si>
  <si>
    <t>Chi hỗ trợ chương trình, dự án</t>
  </si>
  <si>
    <t>6</t>
  </si>
  <si>
    <t>9</t>
  </si>
  <si>
    <t>10</t>
  </si>
  <si>
    <t>34</t>
  </si>
  <si>
    <t>35=2-7</t>
  </si>
  <si>
    <t>11=13+22+25</t>
  </si>
  <si>
    <t>12=14+23+26</t>
  </si>
  <si>
    <t>13=16+17+19</t>
  </si>
  <si>
    <t>14=18+20</t>
  </si>
  <si>
    <t>25=28+29+31</t>
  </si>
  <si>
    <t>26=30+32</t>
  </si>
  <si>
    <t>36=3-8</t>
  </si>
  <si>
    <t>37=4-9</t>
  </si>
  <si>
    <t>38=5-10</t>
  </si>
  <si>
    <t>39=6</t>
  </si>
  <si>
    <t>40=10/5</t>
  </si>
  <si>
    <t>36=3-9</t>
  </si>
  <si>
    <t>37=4-10</t>
  </si>
  <si>
    <t>38=5-11</t>
  </si>
  <si>
    <t>40=11/5</t>
  </si>
  <si>
    <t>Tỷ lệ giải ngân cho chủ rừng (%)</t>
  </si>
  <si>
    <t>Tỷ lệ tổng giải ngân (%)</t>
  </si>
  <si>
    <t>12</t>
  </si>
  <si>
    <t>134/QĐ-UBND, 8/3/2012</t>
  </si>
  <si>
    <t>2642/QĐ-UBND, 31/12/2011</t>
  </si>
  <si>
    <t>Kiêm nhiệm</t>
  </si>
  <si>
    <t>Chi cục LN</t>
  </si>
  <si>
    <t>3719/QĐ-UBND, 30/12/2011</t>
  </si>
  <si>
    <t>UBND tỉnh</t>
  </si>
  <si>
    <t>258/QĐ-UBND, 22/8/2012</t>
  </si>
  <si>
    <t>TL Ban chi trả cấp huyện, xã</t>
  </si>
  <si>
    <t>2462/QĐ-UBND, 14/11/2012</t>
  </si>
  <si>
    <t>1652/QĐ-UBND, 05/11/2012</t>
  </si>
  <si>
    <t>503/QĐ-UBND,11/4/2013</t>
  </si>
  <si>
    <t>69/QĐ-UBND,16/11/2011</t>
  </si>
  <si>
    <t>2956/QĐ-UBND,10/10/2012</t>
  </si>
  <si>
    <t>472/QĐ-UBND,20/3/2012</t>
  </si>
  <si>
    <t>1822/QĐ-UBND, 14/6/2012</t>
  </si>
  <si>
    <t>Số hộ gia đình, cá nhân, CĐ nhận khoán BVR</t>
  </si>
  <si>
    <t>1632/QĐ-UBND, 10/8/2011</t>
  </si>
  <si>
    <t>136/QĐ-UB, 13/01/2012</t>
  </si>
  <si>
    <t>287/QĐ-UBND, 25/01/2013</t>
  </si>
  <si>
    <t>1116/QĐ-UBND, 30/7/2010</t>
  </si>
  <si>
    <t>998/QĐ-UBND, 4/7/2013</t>
  </si>
  <si>
    <t>Tổng Trung ương điều phối</t>
  </si>
  <si>
    <t>Lãi</t>
  </si>
  <si>
    <t>Trung ương điều phối</t>
  </si>
  <si>
    <t>Tổng thu nội tỉnh</t>
  </si>
  <si>
    <t>THU DVMTR</t>
  </si>
  <si>
    <t>TỔNG THU</t>
  </si>
  <si>
    <t>11</t>
  </si>
  <si>
    <t>13</t>
  </si>
  <si>
    <t>Thu chuyển đổi rừng</t>
  </si>
  <si>
    <t>THU DVMTR (nghìn đồng)</t>
  </si>
  <si>
    <t>2=3+4+5+6</t>
  </si>
  <si>
    <t>Tổng Lãi + Thu DVMTR</t>
  </si>
  <si>
    <t>Lãi tiền gửi NH</t>
  </si>
  <si>
    <t>Tiền DVMTR</t>
  </si>
  <si>
    <t>Kết dư 380 của Sơn La</t>
  </si>
  <si>
    <t>7=8+9+10</t>
  </si>
  <si>
    <t>12=1+11</t>
  </si>
  <si>
    <t>1=2+7</t>
  </si>
  <si>
    <t>15=12+13+14</t>
  </si>
  <si>
    <t>427/QĐ-CT, 13/10/2011</t>
  </si>
  <si>
    <t>1687/QĐ-UBND, 1/8/2012</t>
  </si>
  <si>
    <t>3688/QĐ-UBND, 13/12/2012</t>
  </si>
  <si>
    <t>1568/QĐ-UBND, 14/8/2012</t>
  </si>
  <si>
    <t>586/QĐ-UBND, 24/5/2012</t>
  </si>
  <si>
    <t>1567/QĐ-UBND, 3/8/2012</t>
  </si>
  <si>
    <t>333/QĐ-UBND, 7/2/2009</t>
  </si>
  <si>
    <t>1644/QĐ-UBND,11/11/2008</t>
  </si>
  <si>
    <t>NSNN</t>
  </si>
  <si>
    <t xml:space="preserve">Đã thực hiện </t>
  </si>
  <si>
    <t>01</t>
  </si>
  <si>
    <t>-</t>
  </si>
  <si>
    <t>Số lượng hộ, CĐ</t>
  </si>
  <si>
    <t>Chi cho hộ, CĐ nhận khoán</t>
  </si>
  <si>
    <t>Đang trình phê duyệt</t>
  </si>
  <si>
    <t>Đã thực hiện</t>
  </si>
  <si>
    <t>Chưa thực hiện</t>
  </si>
  <si>
    <t>02</t>
  </si>
  <si>
    <t>09</t>
  </si>
  <si>
    <t>07</t>
  </si>
  <si>
    <t>04</t>
  </si>
  <si>
    <t>Nguồn trả lương, PC kiêm nhiệm</t>
  </si>
  <si>
    <t>419/QĐ-UBND,25/4/2012</t>
  </si>
  <si>
    <t>check</t>
  </si>
  <si>
    <t>Đồng Bằng Sông Hồng</t>
  </si>
  <si>
    <t>VIII</t>
  </si>
  <si>
    <t>KPhí quản lý Quỹ</t>
  </si>
  <si>
    <t>NSNN(1)
KP quản lý Quỹ (3)</t>
  </si>
  <si>
    <t>Chưa</t>
  </si>
  <si>
    <t>Đã Thực hiện</t>
  </si>
  <si>
    <t>NSNN, KP quản lý Quỹ</t>
  </si>
  <si>
    <t>Tạm ứng nguồn vốn hỗ trợ ban đầu</t>
  </si>
  <si>
    <t xml:space="preserve"> Tổng Diện tích rừng chi trả DVMTR (ha)</t>
  </si>
  <si>
    <t>Trong đó (ha)</t>
  </si>
  <si>
    <t>Có những hình thức chi trả nào (Đánh dấu vào ô thích hợp)</t>
  </si>
  <si>
    <t>Đơn giá chi trả theo hình thức nào  (lưu vực NM, Sông chính, toàn tỉnh)</t>
  </si>
  <si>
    <t>Đơn giá chi trả cao nhất</t>
  </si>
  <si>
    <t>Đơn giá chi trả thấp  nhất</t>
  </si>
  <si>
    <t>Rừng Tự nhiên</t>
  </si>
  <si>
    <t>Rừng Trồng</t>
  </si>
  <si>
    <t>Rừng Sản xuất</t>
  </si>
  <si>
    <t>Rừng phòng hộ</t>
  </si>
  <si>
    <t>Rừng đặc dụng</t>
  </si>
  <si>
    <t>K</t>
  </si>
  <si>
    <t>K1</t>
  </si>
  <si>
    <t>K2</t>
  </si>
  <si>
    <t>K3</t>
  </si>
  <si>
    <t>K4</t>
  </si>
  <si>
    <t>Hộ</t>
  </si>
  <si>
    <t>Nhóm hộ</t>
  </si>
  <si>
    <t>Thôn</t>
  </si>
  <si>
    <t>Xã</t>
  </si>
  <si>
    <t>x</t>
  </si>
  <si>
    <t>Chi trả theo lưu vực sông chính và chi theo lưu vực Nhà máy SX nước sạch</t>
  </si>
  <si>
    <t>Sử dụng hệ số K nào trong chi trả</t>
  </si>
  <si>
    <t>Sử dụng hệ số K nào trong chi trả (Đánh dấu vào ô thích hợp</t>
  </si>
  <si>
    <t>Lưu vực sông chính</t>
  </si>
  <si>
    <t>1845/QĐ-CTUBND, 30/8/2012</t>
  </si>
  <si>
    <t xml:space="preserve">Chuyên trách </t>
  </si>
  <si>
    <t>TT</t>
  </si>
  <si>
    <t>Cty TNHH MTV Đơn Dương</t>
  </si>
  <si>
    <t>Cty TNHH MTVLN Lộc Bắc</t>
  </si>
  <si>
    <t>Cty TNHH MTVLN Bảo Lâm</t>
  </si>
  <si>
    <t>Cty TNHH MTVLN Đạ Huoai</t>
  </si>
  <si>
    <t>Cty TNHH MTVLN Đạ Tẻh</t>
  </si>
  <si>
    <t>Cty TNHH MTVLN Bảo Thuận</t>
  </si>
  <si>
    <t>Cty TNHH MTVLN Tam Hiệp</t>
  </si>
  <si>
    <t>Cty TNHH MTVLN Di Linh</t>
  </si>
  <si>
    <t>ĐắK Nông</t>
  </si>
  <si>
    <t>Cty TNHH MTV LN Đắk Măng</t>
  </si>
  <si>
    <t>Cty TNHH MTV LN Đắk N'tao</t>
  </si>
  <si>
    <t>Cty TNHH MTV LN Đức Hòa</t>
  </si>
  <si>
    <t>Cty TNHH MTV LN Đức Lập</t>
  </si>
  <si>
    <t>Cty TNHH MTV LN Gia Nghĩa</t>
  </si>
  <si>
    <t>Cty TNHH MTV LN Quảng Đức</t>
  </si>
  <si>
    <t>Cty TNHH MTV LN Quảng Sơn</t>
  </si>
  <si>
    <t>Cty TNHH MTV Nam Nung</t>
  </si>
  <si>
    <t>Cty TNHH MTV LN Nam Tây Nguyên</t>
  </si>
  <si>
    <t>Cty TNHH MTV LN Quảng Tín</t>
  </si>
  <si>
    <t>Cty TNHH MTV LN Trường Xuân</t>
  </si>
  <si>
    <t>Đăk Lăk</t>
  </si>
  <si>
    <t>Cty TNHH MTV lâm nghiệp Lắk</t>
  </si>
  <si>
    <t>Cty TNHH MTV lâm nghiệp Ea Kar</t>
  </si>
  <si>
    <t>Cty TNHH MTV lâm nghiệp Krông Bông</t>
  </si>
  <si>
    <t>Cty TNHH MTV lâm nghiệp Phước An</t>
  </si>
  <si>
    <t>Cty TNHH MTV lâm nghiệp Ma Đrắk</t>
  </si>
  <si>
    <t>Cty TNHH MTV lâm nghiệp Ea H Leo</t>
  </si>
  <si>
    <t xml:space="preserve">Cty TNHH MTV lâm nghiệp Chư Phả </t>
  </si>
  <si>
    <t>Cty TNHH MTV lâm nghiệp Ea Wy</t>
  </si>
  <si>
    <t>Tổng số tiền được chi trả</t>
  </si>
  <si>
    <t>Cty TNHH MTV Lâm nghiệp Đăk Roong</t>
  </si>
  <si>
    <t>Cty TNHH MTV Lâm nghiệp Hà Nừng</t>
  </si>
  <si>
    <t>Cty TNHH MTV Lâm nghiệp Ia Pa</t>
  </si>
  <si>
    <t>Cty TNHH MTV Lâm nghiệp Ka Nak</t>
  </si>
  <si>
    <t>Cty TNHH MTV Lâm nghiệp Kon Chiêng</t>
  </si>
  <si>
    <t>Cty TNHH MTV Lâm nghiệp Kông Chro</t>
  </si>
  <si>
    <t>Cty TNHH MTV Lâm nghiệp Kông Hde</t>
  </si>
  <si>
    <t>Cty TNHH MTV Lâm nghiệp Krông Pa</t>
  </si>
  <si>
    <t>Cty TNHH MTV Lâm nghiệp Lơ Ku</t>
  </si>
  <si>
    <t>Cty TNHH MTV Lâm nghiệp Sơ Pai</t>
  </si>
  <si>
    <t>Cty TNHH MTV Lâm nghiệp Trạm Lập</t>
  </si>
  <si>
    <t>Công ty TNHH MTV LN Kon Plong</t>
  </si>
  <si>
    <t>Công ty TNHH MTV LN Kon Rẫy</t>
  </si>
  <si>
    <t>Công ty TNHH MTV LN Đăk Tô</t>
  </si>
  <si>
    <t>Công ty TNHH MTV LN Đăk Hà</t>
  </si>
  <si>
    <t>Công ty TNHH MTV LN Sa Thầy</t>
  </si>
  <si>
    <t>Diện tích được chi trả (ha)</t>
  </si>
  <si>
    <t xml:space="preserve">Tổng </t>
  </si>
  <si>
    <t>Tổng Cộng</t>
  </si>
  <si>
    <t>Cơ quan chủ quản</t>
  </si>
  <si>
    <t>Phụ biểu 04. Tình hình ký kết hợp đồng chi trả DVMTR trên toàn quốc đến tháng 8/2014</t>
  </si>
  <si>
    <t>Tên Công ty Lâm nghiệp</t>
  </si>
  <si>
    <t>Quản lý phí</t>
  </si>
  <si>
    <t>Ghi chú:</t>
  </si>
  <si>
    <t>- Quỹ tỉnh thu</t>
  </si>
  <si>
    <t>nghìn đồng</t>
  </si>
  <si>
    <t>Số chưa phân bổ (DVMTR + Lãi)</t>
  </si>
  <si>
    <t>Số chưa phân bổ (DVMTR + KP quản lý)</t>
  </si>
  <si>
    <t>- Quỹ Trung ương  thu</t>
  </si>
  <si>
    <t>1.Thu DVMTR</t>
  </si>
  <si>
    <t>2. Thu  lãi phát sinh</t>
  </si>
  <si>
    <t>3. Tổng thu toàn quốc (DVMTR + Lãi)</t>
  </si>
  <si>
    <t>Đơn vị tính: Nghìn đồng</t>
  </si>
  <si>
    <t>Đơn vị tính: nghìn đồng</t>
  </si>
  <si>
    <t>Phụ biểu 15. Tổng hợp diện tích và kinh phí chi trả cho các Công ty Lâm nghiệp nhà nước 
khu vực Tây nguyên đến nay</t>
  </si>
  <si>
    <t xml:space="preserve"> Phụ biểu 14. Số vụ vi phạm Luật BV&amp;PTR và diện tích rừng bị thiệt hại giai đoạn 2009-2013</t>
  </si>
  <si>
    <t>Hạng mục</t>
  </si>
  <si>
    <t>Năm 2009</t>
  </si>
  <si>
    <t>Năm 2010</t>
  </si>
  <si>
    <t>1. Cháy rừng</t>
  </si>
  <si>
    <t>- Số vụ vi phạm</t>
  </si>
  <si>
    <t>- Diện tích rừng bị thiệt hại</t>
  </si>
  <si>
    <t>2. Phá rừng trái pháp luật</t>
  </si>
  <si>
    <t>3. Sâu bệnh hại</t>
  </si>
  <si>
    <t>4. Chuyển đổi mục đích sử dụng rừng</t>
  </si>
  <si>
    <t>Cộng Đồng</t>
  </si>
  <si>
    <t>Lớn nhất</t>
  </si>
  <si>
    <t>Nhỏ nhất</t>
  </si>
  <si>
    <t>Thôn, buôn tham gia</t>
  </si>
  <si>
    <t>Tổng số</t>
  </si>
  <si>
    <t>Xã tham gia</t>
  </si>
  <si>
    <t>Huyện, TP</t>
  </si>
  <si>
    <t>Số HGĐ là chủ rừng được nhận tiền trong 1 kỳ thanh toán</t>
  </si>
  <si>
    <t>Số HGĐ nhận khoán được nhận tiền trong 1 kỳ thanh toán</t>
  </si>
  <si>
    <t>Số nhóm HGĐ được nhận tiền trong 1 kỳ thanh tán</t>
  </si>
  <si>
    <t>Cao nhất</t>
  </si>
  <si>
    <t>Thấp nhất</t>
  </si>
  <si>
    <t>Số hộ bình quân/nhóm</t>
  </si>
  <si>
    <t>Số cộng đồng dân cư được nhận tiền trong 1 kỳ thanh tán</t>
  </si>
  <si>
    <t>Số hộ bình quân/cộng đồng</t>
  </si>
  <si>
    <t>Bình quân</t>
  </si>
  <si>
    <t>Hộ GĐ là chủ rừng</t>
  </si>
  <si>
    <t>Diện tích chi trả bình quân cho chủ rừng</t>
  </si>
  <si>
    <t>Hộ GĐ nhận khoán</t>
  </si>
  <si>
    <t>Cộng đồng dân cư</t>
  </si>
  <si>
    <t>Tổng số tiền nhận trong 3 năm</t>
  </si>
  <si>
    <t>Nhóm hộ là chủ rừng</t>
  </si>
  <si>
    <t>Mức chi trả (đồng/ha/năm)</t>
  </si>
  <si>
    <t>Tổ chức Ctrị của bản</t>
  </si>
  <si>
    <t>đến 31/12/2013</t>
  </si>
  <si>
    <t>Phát sinh 2014</t>
  </si>
  <si>
    <t>Đơn vị sử dụng dịch vụ MTR</t>
  </si>
  <si>
    <t>Chủ rừng</t>
  </si>
  <si>
    <t>Tổ chức không phải chủ rừng</t>
  </si>
  <si>
    <t>Tổ chức nhà nước</t>
  </si>
  <si>
    <t>Tổ chức không phải nhà nước</t>
  </si>
  <si>
    <t>HGĐ, CĐ Dân</t>
  </si>
  <si>
    <t>Kinh</t>
  </si>
  <si>
    <t>HGĐ, CĐ nhận khoán</t>
  </si>
  <si>
    <t>HGĐ, CĐ Dân cư</t>
  </si>
  <si>
    <t>1. Thu DVMTR toàn quốc: 1.096.389.756 nghìn đồng; 2. Lãi phát sinh: 1.841.444 nghìn đồng</t>
  </si>
  <si>
    <t>Tổng Thu</t>
  </si>
  <si>
    <t>1. Thu DVMTR toàn quốc: 765.786.586 nghìn đồng; 2. Lãi phát sinh: 990.260 nghìn đồng</t>
  </si>
  <si>
    <t>TW thu</t>
  </si>
  <si>
    <t>Tổng doanh thu từ chính sách chi trả DVMTR</t>
  </si>
  <si>
    <t>triệu đồng</t>
  </si>
  <si>
    <t>Thu qua trung ương</t>
  </si>
  <si>
    <t>Thu từ cơ sở sản xuất thủy điện</t>
  </si>
  <si>
    <t>Thu từ cơ sở sản xuất và cung ứng nước sạch</t>
  </si>
  <si>
    <t>Thu từ dịch vụ du lịch (cảnh quan)</t>
  </si>
  <si>
    <t>14=2-7</t>
  </si>
  <si>
    <t>18=6</t>
  </si>
  <si>
    <t>Chi hỗ trợ chương trình, dự án; trồng cây phân tán (nghìn đồng)</t>
  </si>
  <si>
    <t>7 =8+9+10+11</t>
  </si>
  <si>
    <t>Tổng kinh phí được sử dụng để chi ( nghìn đồng)</t>
  </si>
  <si>
    <t xml:space="preserve">Kế hoạch chi  </t>
  </si>
  <si>
    <t>Theo Kế hoạch</t>
  </si>
  <si>
    <t>19=11/5</t>
  </si>
  <si>
    <t>15=3-9</t>
  </si>
  <si>
    <t>16=4-10</t>
  </si>
  <si>
    <t>17=5-11</t>
  </si>
  <si>
    <t>Kế hoạch chi</t>
  </si>
  <si>
    <t xml:space="preserve">Theo Kế hoạch </t>
  </si>
  <si>
    <t>Tổng kinh phí được sử dụng để chi</t>
  </si>
  <si>
    <t>Kinh phí quản lý</t>
  </si>
  <si>
    <t>Kinh phí dự phòng</t>
  </si>
  <si>
    <t>Kinh phí chi trồng cây phân tán + các chương trình</t>
  </si>
  <si>
    <t>Kinh phí còn lại chưa chi</t>
  </si>
  <si>
    <t>2011 + 2012</t>
  </si>
  <si>
    <t xml:space="preserve">Kinh phí đã chi </t>
  </si>
  <si>
    <t>Kinh phí chi trả cho chủ rừng và tổ chức không phải chủ rừng</t>
  </si>
  <si>
    <t>Tỷ lệ giải ngân cho chủ rừng và tổ chức không phải chủ rừng</t>
  </si>
  <si>
    <t>%</t>
  </si>
  <si>
    <t>Chủ rừng là HGĐ, Cộng Đồng</t>
  </si>
  <si>
    <t>Hộ nhận khoán</t>
  </si>
  <si>
    <t>Năm 2011 +2012</t>
  </si>
  <si>
    <t>8 Tháng 2014</t>
  </si>
  <si>
    <t>BC cũ</t>
  </si>
  <si>
    <t>Chủ trì</t>
  </si>
  <si>
    <t>Chức vụ</t>
  </si>
  <si>
    <t>Nguyễn Hữu Ái</t>
  </si>
  <si>
    <t>GĐ Sở NN&amp;PTNT</t>
  </si>
  <si>
    <t>Lò Văn Tiến</t>
  </si>
  <si>
    <t>PCT UBND tỉnh</t>
  </si>
  <si>
    <t>Nguyễn Văn Dũng</t>
  </si>
  <si>
    <t>Hồ Ngọc Sỹ</t>
  </si>
  <si>
    <t>Trần Quang Nhất</t>
  </si>
  <si>
    <t>PCT UBND</t>
  </si>
  <si>
    <t>Phạm S</t>
  </si>
  <si>
    <t>Nguyễn Minh Tiến</t>
  </si>
  <si>
    <t>Đào Xuân Liên</t>
  </si>
  <si>
    <t>Vũ Minh Khôi</t>
  </si>
  <si>
    <t>PGĐ Sở NN&amp;PTNT</t>
  </si>
  <si>
    <t>Nguyễn Văn Tới</t>
  </si>
  <si>
    <t>Huỳnh Thanh Cảnh</t>
  </si>
  <si>
    <t>Lê Tiến Phương</t>
  </si>
  <si>
    <t>Đinh Văn Khiết</t>
  </si>
  <si>
    <t>Cầm Ngọc Minh</t>
  </si>
  <si>
    <t>Nguyễn Hữu Hải</t>
  </si>
  <si>
    <t>Phạm Đăng Quyền</t>
  </si>
  <si>
    <t>CT UBND tỉnh</t>
  </si>
  <si>
    <t>Phan Ngọc Thọ</t>
  </si>
  <si>
    <t>Nông Văn Chí</t>
  </si>
  <si>
    <t>Lê Quang Thích</t>
  </si>
  <si>
    <t>Trần Đình Tùng</t>
  </si>
  <si>
    <t>Trần Thị Thu Hà</t>
  </si>
  <si>
    <t>Võ Văn Chánh</t>
  </si>
  <si>
    <t>Lê Đình Sơn</t>
  </si>
  <si>
    <t>Đặng Ngọc Sơn</t>
  </si>
  <si>
    <t>hoặc</t>
  </si>
  <si>
    <t>Võ Đại</t>
  </si>
  <si>
    <t>Lý Vinh Quang</t>
  </si>
  <si>
    <t>Đàm Văn Eng</t>
  </si>
  <si>
    <t>Dương Văn Thái</t>
  </si>
  <si>
    <t>Nguyễn Phước Trung</t>
  </si>
  <si>
    <t>Hoàng Xuân Nguyên</t>
  </si>
  <si>
    <t xml:space="preserve">Chưa xác định được </t>
  </si>
  <si>
    <t>Hoàng Công Thủy</t>
  </si>
  <si>
    <t>Lãnh đạo chủ chì Hội nghị trực tuyến</t>
  </si>
  <si>
    <t>Nguyễn Duy Bắc</t>
  </si>
  <si>
    <t>1</t>
  </si>
  <si>
    <t>Trình UBND tỉnh phê duyệt phương án</t>
  </si>
  <si>
    <t>Ghi chú</t>
  </si>
  <si>
    <t>Đã có phương án sử dụng được duyệt</t>
  </si>
  <si>
    <t>TỔNG HỢP TIỀN DVMTR ĐÃ THU ĐƯỢC QUA CÁC NĂM  KHÔNG XÁC ĐỊNH ĐƯỢC ĐỐI TƯỢNG CHI TRẢ</t>
  </si>
  <si>
    <t>Đề nghị Bộ NN cho phép hỗ trợ các huyện, thành phố lập các thủ tục, hồ sơ giao khoán BVR, thực hiện giao đất, giao rừng</t>
  </si>
  <si>
    <t>Đề nghị Bộ NN cho phép hỗ trợ trồng cây phân tán</t>
  </si>
  <si>
    <t>Đã có phương án sử dụng theo văn bản thống nhất của Thủ tướng Chính phủ tại CV số 2075/TTg - KTN ngày 22/10/2014</t>
  </si>
  <si>
    <t>ĐVT: nghìn đồng</t>
  </si>
  <si>
    <t>C</t>
  </si>
  <si>
    <t>Tổng Quỹ Trung ương điều phối cho tỉnh trong 4 năm</t>
  </si>
  <si>
    <t>5=1+2+3+4</t>
  </si>
  <si>
    <t>Nộp NS</t>
  </si>
  <si>
    <t>Vốn NSBĐ</t>
  </si>
  <si>
    <t>Trích quỹ TW</t>
  </si>
  <si>
    <t>Số phải chuyển</t>
  </si>
  <si>
    <t>Số tồn</t>
  </si>
  <si>
    <t>Trung ương điều phối (nghìn đồng)</t>
  </si>
  <si>
    <t>Thu nội tỉnh
(nghìn đồng)</t>
  </si>
  <si>
    <t>Đào tạo, tập huấn</t>
  </si>
  <si>
    <t>Hội nghị, hội thảo</t>
  </si>
  <si>
    <t>Số lượng 
(khóa)</t>
  </si>
  <si>
    <t xml:space="preserve">Số lượt người tham dự </t>
  </si>
  <si>
    <t>Số lượng 
(cuộc)</t>
  </si>
  <si>
    <t>Số lượng</t>
  </si>
  <si>
    <t>Qua báo (lần)</t>
  </si>
  <si>
    <t>Qua đài truyền thanh (lần)</t>
  </si>
  <si>
    <t>Qua truyền hình (lần)</t>
  </si>
  <si>
    <t>Poster (tờ)</t>
  </si>
  <si>
    <t>Bản tin (lần)</t>
  </si>
  <si>
    <t>Sổ tay tuyên truyền</t>
  </si>
  <si>
    <t>Hình thức tuyên truyền khác</t>
  </si>
  <si>
    <t>Diện tích được hưởng tiền DVMTR (ha)</t>
  </si>
  <si>
    <t>…</t>
  </si>
  <si>
    <t>Chủ rừng Công ty lâm nghiệp</t>
  </si>
  <si>
    <t>Chủ rừng nhà nước (BQL phòng hộ, đặc dụng)</t>
  </si>
  <si>
    <t>Cộng đồng</t>
  </si>
  <si>
    <t xml:space="preserve">UBND Xã </t>
  </si>
  <si>
    <t>Số tiền (ngàn đồng)</t>
  </si>
  <si>
    <t>Tổng thu 
(nghìn đồng)</t>
  </si>
  <si>
    <t>Qua áp phich, biển báo (chiếc)</t>
  </si>
  <si>
    <t>Chủ rừng là tổ chức và tổ chức không phải chủ rừng</t>
  </si>
  <si>
    <t>tự quản lý bảo vệ</t>
  </si>
  <si>
    <t>khoán quản lý bảo vệ</t>
  </si>
  <si>
    <t>Chủ rừng tổ chức khác</t>
  </si>
  <si>
    <t>Thôn, bản</t>
  </si>
  <si>
    <t>Biểu 01: Tình hình giải ngân tiền DVMTR cho chu rừng là tổ chức và tổ chức không phải chủ rừng</t>
  </si>
  <si>
    <t>Phụ biểu 02: Tình hình giải ngân tiền DVMTR cho hộ gia đình, cá nhân, cộng đồng, thôn, nhóm hộ</t>
  </si>
  <si>
    <t>Đơn vị sử dụng DVMTR</t>
  </si>
  <si>
    <t>Nội dung</t>
  </si>
  <si>
    <t>Hộ gia đình, cá nhân</t>
  </si>
  <si>
    <t>Số công trình phúc lợi được xây mới</t>
  </si>
  <si>
    <t>Tổng số tiền DVMTR cho công trình phúc lợi</t>
  </si>
  <si>
    <t>Số người tham gia bảo vệ rừng</t>
  </si>
  <si>
    <t>Số tiền DVMTR bình quân đầu người</t>
  </si>
  <si>
    <t>Trung ương điều phối
(nghìn đồng)</t>
  </si>
  <si>
    <t>Tờ rơi, tờ gấp 
(tờ)</t>
  </si>
  <si>
    <t>ĐVT</t>
  </si>
  <si>
    <t>Chỉ số/kết quả
(số lượng, khối lượng, giá trị, tỷ lệ)</t>
  </si>
  <si>
    <t>Công trình</t>
  </si>
  <si>
    <t>1.000 đồng</t>
  </si>
  <si>
    <t>Người</t>
  </si>
  <si>
    <t>Được giao rừng (có sổ)</t>
  </si>
  <si>
    <t>Hợp đồng khoán QLBV</t>
  </si>
  <si>
    <t>Thu nội tỉnh (nghìn đồng)</t>
  </si>
  <si>
    <t>Thu</t>
  </si>
  <si>
    <t>Thu năm 2016</t>
  </si>
  <si>
    <t>Đã thực hiện lũy kế</t>
  </si>
  <si>
    <t>Số lượng CT</t>
  </si>
  <si>
    <t>Diện tích (Ha)</t>
  </si>
  <si>
    <t>Số tiền (1000đ)</t>
  </si>
  <si>
    <t>Công trình thủy điện</t>
  </si>
  <si>
    <t>Công trình mục đích công cộng</t>
  </si>
  <si>
    <t>Công trình mục đích kinh doanh</t>
  </si>
  <si>
    <t>Phải thực hiện theo kế hoạch</t>
  </si>
  <si>
    <t>Thanh toán năm 2015</t>
  </si>
  <si>
    <t>Tạm ứng 2016 đến 15/12/2016</t>
  </si>
  <si>
    <t>Tạm ứng năm 2016 ước thực hiện đến 31/12/2016</t>
  </si>
  <si>
    <t>Phụ biểu 03: Kế hoạch thu tiền DVMTR năm 2017</t>
  </si>
  <si>
    <r>
      <t>P</t>
    </r>
    <r>
      <rPr>
        <b/>
        <sz val="11"/>
        <color indexed="8"/>
        <rFont val="Times New Roman"/>
        <family val="1"/>
      </rPr>
      <t>hụ biểu 05: Tổng hợp các hình thức tuyên truyền</t>
    </r>
  </si>
  <si>
    <t>Phụ biểu 06: Tổng hợp tình hình huy động nguồn thu DVMTR năm 2016</t>
  </si>
  <si>
    <t>Đến hết 15/12/2016</t>
  </si>
  <si>
    <t>Ước thực hiện hết năm 2016</t>
  </si>
  <si>
    <t>Phụ biểu 07: Tình hình thu nộp tiền trồng rừng thay thế (ước thực hiện cả năm 2016)</t>
  </si>
  <si>
    <t>Tên dự án chuyển mục đích</t>
  </si>
  <si>
    <t>Số đã được UBND tỉnh phê duyệt thực hiện TRTT</t>
  </si>
  <si>
    <t>Số đã thực hiện TRTT</t>
  </si>
  <si>
    <t>Trong năm 2016</t>
  </si>
  <si>
    <t>Lũy kế từ khi triển khai TRTT đến nay</t>
  </si>
  <si>
    <t>3 (3=1-2)</t>
  </si>
  <si>
    <t>Số còn phải thực hiện</t>
  </si>
  <si>
    <t>Phụ biểu 08: Tổng hợp tình hình giải ngân thực hiện trồng rừng thay thế</t>
  </si>
  <si>
    <t>1.000 đ/người</t>
  </si>
  <si>
    <t>Phụ biểu 9. Hiệu quả về chi trả dịch vụ môi trường rừng</t>
  </si>
  <si>
    <t>Số tiền tạm ứng năm 2016 đến ngày 15/12/2016</t>
  </si>
  <si>
    <t>Ước thực hiện đến 31/12/2016</t>
  </si>
  <si>
    <r>
      <t xml:space="preserve">Ghi chú: 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Chủ rừng khác là: Doanh nghiệp, đơn vị công an, quân đội, đơn vị nghiên cứu… </t>
    </r>
  </si>
  <si>
    <t>Phụ biểu 04: Tổng hợp các hoạt động tuyên truyền nâng cao nhận thức và kiểm tra giám sát</t>
  </si>
  <si>
    <t>Kiểm tra, giám sát</t>
  </si>
  <si>
    <t>Liên ngành, HĐND (đoàn)</t>
  </si>
  <si>
    <t>Quỹ tỉnh (Đoàn)</t>
  </si>
  <si>
    <r>
      <t xml:space="preserve">(Đính kèm công văn số: </t>
    </r>
    <r>
      <rPr>
        <b/>
        <i/>
        <sz val="11"/>
        <color indexed="8"/>
        <rFont val="Times New Roman"/>
        <family val="1"/>
      </rPr>
      <t>231</t>
    </r>
    <r>
      <rPr>
        <i/>
        <sz val="11"/>
        <color indexed="8"/>
        <rFont val="Times New Roman"/>
        <family val="1"/>
      </rPr>
      <t xml:space="preserve"> /VNFF-BĐH, ngày  06 /12/2016
của Quỹ Bảo vệ và Phát triển rừng Việt Nam)</t>
    </r>
  </si>
  <si>
    <t>(Đính kèm công văn số: 231 /VNFF-BĐH, ngày 06 /12/2016 
của Quỹ Bảo vệ và Phát triển rừng Việt Nam)</t>
  </si>
  <si>
    <t>(Đính kèm công văn số: 231 /VNFF-BĐH, ngày 06 /12/2016
của Quỹ Bảo vệ và Phát triển rừng Việt Nam)</t>
  </si>
  <si>
    <r>
      <t>(</t>
    </r>
    <r>
      <rPr>
        <i/>
        <sz val="11"/>
        <color indexed="8"/>
        <rFont val="Times New Roman"/>
        <family val="1"/>
      </rPr>
      <t>Đính kèm công văn số: 231  /VNFF-BĐH, ngày 06 /12/2016 
của Quỹ Bảo vệ và Phát triển rừng Việt Nam)</t>
    </r>
  </si>
  <si>
    <t>(Đính kèm công văn số: 231  /VNFF-BĐH, ngày 06/12/2016 
của Quỹ Bảo vệ và Phát triển rừng Việt Nam)</t>
  </si>
  <si>
    <t>(Đính kèm công văn số: 231 /VNFF-BĐH, ngày 06 /12/2016 của Quỹ Bảo vệ và Phát triển rừng Việt Nam)</t>
  </si>
  <si>
    <t>(Đính kèm công văn số: 231  /VNFF-BĐH, ngày 06 /12/2016 
của Quỹ Bảo vệ và Phát triển rừng Việt Nam)</t>
  </si>
  <si>
    <t>(Đính kèm công văn số: 231 /VNFF-BĐH, ngày 06 tháng 12 năm 2016 
của Quỹ Bảo vệ và Phát triển rừng Việt Nam)</t>
  </si>
  <si>
    <t>Thanh toán năm 2015
(nghìn đồng)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</si>
</sst>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#,##0.0"/>
    <numFmt numFmtId="176" formatCode="_(* #,##0.0_);_(* \(#,##0.0\);_(* &quot;-&quot;?_);_(@_)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-* #,##0\ _₫_-;\-* #,##0\ _₫_-;_-* &quot;-&quot;??\ _₫_-;_-@_-"/>
    <numFmt numFmtId="186" formatCode="_(* #,##0.000_);_(* \(#,##0.000\);_(* &quot;-&quot;??_);_(@_)"/>
    <numFmt numFmtId="187" formatCode="[$-42A]dd\ mmmm\ yyyy"/>
    <numFmt numFmtId="188" formatCode="[$-42A]h:mm:ss\ AM/PM"/>
    <numFmt numFmtId="189" formatCode="0.0"/>
  </numFmts>
  <fonts count="10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.VnTim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/>
    </border>
    <border>
      <left style="double"/>
      <right style="thin"/>
      <top style="hair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5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21" borderId="0" applyNumberFormat="0" applyBorder="0" applyAlignment="0" applyProtection="0"/>
    <xf numFmtId="0" fontId="16" fillId="15" borderId="0" applyNumberFormat="0" applyBorder="0" applyAlignment="0" applyProtection="0"/>
    <xf numFmtId="0" fontId="0" fillId="22" borderId="0" applyNumberFormat="0" applyBorder="0" applyAlignment="0" applyProtection="0"/>
    <xf numFmtId="0" fontId="16" fillId="20" borderId="0" applyNumberFormat="0" applyBorder="0" applyAlignment="0" applyProtection="0"/>
    <xf numFmtId="0" fontId="66" fillId="23" borderId="0" applyNumberFormat="0" applyBorder="0" applyAlignment="0" applyProtection="0"/>
    <xf numFmtId="0" fontId="20" fillId="15" borderId="0" applyNumberFormat="0" applyBorder="0" applyAlignment="0" applyProtection="0"/>
    <xf numFmtId="0" fontId="66" fillId="24" borderId="0" applyNumberFormat="0" applyBorder="0" applyAlignment="0" applyProtection="0"/>
    <xf numFmtId="0" fontId="20" fillId="5" borderId="0" applyNumberFormat="0" applyBorder="0" applyAlignment="0" applyProtection="0"/>
    <xf numFmtId="0" fontId="66" fillId="25" borderId="0" applyNumberFormat="0" applyBorder="0" applyAlignment="0" applyProtection="0"/>
    <xf numFmtId="0" fontId="20" fillId="18" borderId="0" applyNumberFormat="0" applyBorder="0" applyAlignment="0" applyProtection="0"/>
    <xf numFmtId="0" fontId="66" fillId="26" borderId="0" applyNumberFormat="0" applyBorder="0" applyAlignment="0" applyProtection="0"/>
    <xf numFmtId="0" fontId="20" fillId="20" borderId="0" applyNumberFormat="0" applyBorder="0" applyAlignment="0" applyProtection="0"/>
    <xf numFmtId="0" fontId="66" fillId="27" borderId="0" applyNumberFormat="0" applyBorder="0" applyAlignment="0" applyProtection="0"/>
    <xf numFmtId="0" fontId="20" fillId="28" borderId="0" applyNumberFormat="0" applyBorder="0" applyAlignment="0" applyProtection="0"/>
    <xf numFmtId="0" fontId="66" fillId="29" borderId="0" applyNumberFormat="0" applyBorder="0" applyAlignment="0" applyProtection="0"/>
    <xf numFmtId="0" fontId="20" fillId="30" borderId="0" applyNumberFormat="0" applyBorder="0" applyAlignment="0" applyProtection="0"/>
    <xf numFmtId="0" fontId="66" fillId="31" borderId="0" applyNumberFormat="0" applyBorder="0" applyAlignment="0" applyProtection="0"/>
    <xf numFmtId="0" fontId="20" fillId="28" borderId="0" applyNumberFormat="0" applyBorder="0" applyAlignment="0" applyProtection="0"/>
    <xf numFmtId="0" fontId="66" fillId="32" borderId="0" applyNumberFormat="0" applyBorder="0" applyAlignment="0" applyProtection="0"/>
    <xf numFmtId="0" fontId="20" fillId="33" borderId="0" applyNumberFormat="0" applyBorder="0" applyAlignment="0" applyProtection="0"/>
    <xf numFmtId="0" fontId="66" fillId="34" borderId="0" applyNumberFormat="0" applyBorder="0" applyAlignment="0" applyProtection="0"/>
    <xf numFmtId="0" fontId="20" fillId="35" borderId="0" applyNumberFormat="0" applyBorder="0" applyAlignment="0" applyProtection="0"/>
    <xf numFmtId="0" fontId="66" fillId="36" borderId="0" applyNumberFormat="0" applyBorder="0" applyAlignment="0" applyProtection="0"/>
    <xf numFmtId="0" fontId="20" fillId="37" borderId="0" applyNumberFormat="0" applyBorder="0" applyAlignment="0" applyProtection="0"/>
    <xf numFmtId="0" fontId="66" fillId="38" borderId="0" applyNumberFormat="0" applyBorder="0" applyAlignment="0" applyProtection="0"/>
    <xf numFmtId="0" fontId="20" fillId="39" borderId="0" applyNumberFormat="0" applyBorder="0" applyAlignment="0" applyProtection="0"/>
    <xf numFmtId="0" fontId="66" fillId="40" borderId="0" applyNumberFormat="0" applyBorder="0" applyAlignment="0" applyProtection="0"/>
    <xf numFmtId="0" fontId="20" fillId="30" borderId="0" applyNumberFormat="0" applyBorder="0" applyAlignment="0" applyProtection="0"/>
    <xf numFmtId="0" fontId="67" fillId="41" borderId="0" applyNumberFormat="0" applyBorder="0" applyAlignment="0" applyProtection="0"/>
    <xf numFmtId="0" fontId="21" fillId="42" borderId="0" applyNumberFormat="0" applyBorder="0" applyAlignment="0" applyProtection="0"/>
    <xf numFmtId="0" fontId="68" fillId="43" borderId="1" applyNumberFormat="0" applyAlignment="0" applyProtection="0"/>
    <xf numFmtId="0" fontId="22" fillId="18" borderId="2" applyNumberFormat="0" applyAlignment="0" applyProtection="0"/>
    <xf numFmtId="0" fontId="69" fillId="44" borderId="3" applyNumberFormat="0" applyAlignment="0" applyProtection="0"/>
    <xf numFmtId="0" fontId="23" fillId="35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6" fillId="0" borderId="0" applyFont="0" applyFill="0" applyBorder="0">
      <alignment vertical="top"/>
      <protection locked="0"/>
    </xf>
    <xf numFmtId="43" fontId="2" fillId="0" borderId="0" applyFont="0" applyFill="0" applyBorder="0">
      <alignment vertical="top"/>
      <protection locked="0"/>
    </xf>
    <xf numFmtId="43" fontId="16" fillId="0" borderId="0" applyFont="0" applyFill="0" applyBorder="0">
      <alignment vertical="top"/>
      <protection locked="0"/>
    </xf>
    <xf numFmtId="43" fontId="18" fillId="0" borderId="0" applyFont="0" applyFill="0" applyBorder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25" fillId="13" borderId="0" applyNumberFormat="0" applyBorder="0" applyAlignment="0" applyProtection="0"/>
    <xf numFmtId="0" fontId="73" fillId="0" borderId="5" applyNumberFormat="0" applyFill="0" applyAlignment="0" applyProtection="0"/>
    <xf numFmtId="0" fontId="26" fillId="0" borderId="6" applyNumberFormat="0" applyFill="0" applyAlignment="0" applyProtection="0"/>
    <xf numFmtId="0" fontId="74" fillId="0" borderId="7" applyNumberFormat="0" applyFill="0" applyAlignment="0" applyProtection="0"/>
    <xf numFmtId="0" fontId="27" fillId="0" borderId="8" applyNumberFormat="0" applyFill="0" applyAlignment="0" applyProtection="0"/>
    <xf numFmtId="0" fontId="75" fillId="0" borderId="9" applyNumberFormat="0" applyFill="0" applyAlignment="0" applyProtection="0"/>
    <xf numFmtId="0" fontId="28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6" borderId="1" applyNumberFormat="0" applyAlignment="0" applyProtection="0"/>
    <xf numFmtId="0" fontId="29" fillId="5" borderId="2" applyNumberFormat="0" applyAlignment="0" applyProtection="0"/>
    <xf numFmtId="0" fontId="32" fillId="0" borderId="0">
      <alignment/>
      <protection/>
    </xf>
    <xf numFmtId="0" fontId="78" fillId="0" borderId="11" applyNumberFormat="0" applyFill="0" applyAlignment="0" applyProtection="0"/>
    <xf numFmtId="0" fontId="30" fillId="0" borderId="12" applyNumberFormat="0" applyFill="0" applyAlignment="0" applyProtection="0"/>
    <xf numFmtId="0" fontId="79" fillId="47" borderId="0" applyNumberFormat="0" applyBorder="0" applyAlignment="0" applyProtection="0"/>
    <xf numFmtId="0" fontId="31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17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19" fillId="0" borderId="0">
      <alignment vertical="center"/>
      <protection/>
    </xf>
    <xf numFmtId="0" fontId="16" fillId="0" borderId="0">
      <alignment/>
      <protection/>
    </xf>
    <xf numFmtId="0" fontId="19" fillId="0" borderId="0">
      <alignment vertical="center"/>
      <protection/>
    </xf>
    <xf numFmtId="0" fontId="32" fillId="0" borderId="0">
      <alignment/>
      <protection/>
    </xf>
    <xf numFmtId="0" fontId="19" fillId="0" borderId="0">
      <alignment vertical="center"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48" borderId="13" applyNumberFormat="0" applyFont="0" applyAlignment="0" applyProtection="0"/>
    <xf numFmtId="0" fontId="16" fillId="9" borderId="14" applyNumberFormat="0" applyFont="0" applyAlignment="0" applyProtection="0"/>
    <xf numFmtId="0" fontId="81" fillId="43" borderId="15" applyNumberFormat="0" applyAlignment="0" applyProtection="0"/>
    <xf numFmtId="0" fontId="33" fillId="18" borderId="16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>
      <alignment vertical="top"/>
      <protection locked="0"/>
    </xf>
    <xf numFmtId="9" fontId="18" fillId="0" borderId="0" applyFont="0" applyFill="0" applyBorder="0">
      <alignment vertical="top"/>
      <protection locked="0"/>
    </xf>
    <xf numFmtId="9" fontId="1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35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91">
    <xf numFmtId="0" fontId="0" fillId="0" borderId="0" xfId="0" applyFont="1" applyAlignment="1">
      <alignment/>
    </xf>
    <xf numFmtId="0" fontId="85" fillId="0" borderId="19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85" fillId="0" borderId="19" xfId="0" applyFont="1" applyBorder="1" applyAlignment="1">
      <alignment horizontal="center"/>
    </xf>
    <xf numFmtId="0" fontId="85" fillId="0" borderId="19" xfId="0" applyFont="1" applyBorder="1" applyAlignment="1">
      <alignment/>
    </xf>
    <xf numFmtId="0" fontId="85" fillId="0" borderId="0" xfId="0" applyFont="1" applyAlignment="1">
      <alignment/>
    </xf>
    <xf numFmtId="0" fontId="86" fillId="0" borderId="19" xfId="0" applyFont="1" applyBorder="1" applyAlignment="1">
      <alignment horizontal="center"/>
    </xf>
    <xf numFmtId="0" fontId="86" fillId="0" borderId="19" xfId="0" applyFont="1" applyBorder="1" applyAlignment="1">
      <alignment/>
    </xf>
    <xf numFmtId="0" fontId="86" fillId="0" borderId="0" xfId="0" applyFont="1" applyAlignment="1" quotePrefix="1">
      <alignment/>
    </xf>
    <xf numFmtId="0" fontId="85" fillId="0" borderId="19" xfId="0" applyFont="1" applyBorder="1" applyAlignment="1">
      <alignment horizontal="left"/>
    </xf>
    <xf numFmtId="0" fontId="86" fillId="0" borderId="19" xfId="0" applyFont="1" applyBorder="1" applyAlignment="1">
      <alignment horizontal="left" indent="1"/>
    </xf>
    <xf numFmtId="0" fontId="86" fillId="0" borderId="19" xfId="0" applyFont="1" applyBorder="1" applyAlignment="1">
      <alignment horizontal="left"/>
    </xf>
    <xf numFmtId="0" fontId="86" fillId="0" borderId="19" xfId="0" applyFont="1" applyBorder="1" applyAlignment="1">
      <alignment horizontal="left" wrapText="1" indent="1"/>
    </xf>
    <xf numFmtId="172" fontId="86" fillId="0" borderId="19" xfId="69" applyNumberFormat="1" applyFont="1" applyBorder="1" applyAlignment="1">
      <alignment/>
    </xf>
    <xf numFmtId="0" fontId="87" fillId="0" borderId="0" xfId="0" applyFont="1" applyAlignment="1">
      <alignment/>
    </xf>
    <xf numFmtId="172" fontId="87" fillId="0" borderId="0" xfId="69" applyNumberFormat="1" applyFont="1" applyAlignment="1">
      <alignment/>
    </xf>
    <xf numFmtId="173" fontId="87" fillId="0" borderId="0" xfId="69" applyNumberFormat="1" applyFont="1" applyAlignment="1">
      <alignment/>
    </xf>
    <xf numFmtId="0" fontId="88" fillId="0" borderId="0" xfId="0" applyFont="1" applyAlignment="1">
      <alignment/>
    </xf>
    <xf numFmtId="173" fontId="3" fillId="0" borderId="20" xfId="69" applyNumberFormat="1" applyFont="1" applyBorder="1" applyAlignment="1">
      <alignment horizontal="center" vertical="center" wrapText="1"/>
    </xf>
    <xf numFmtId="173" fontId="3" fillId="0" borderId="19" xfId="69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72" fontId="88" fillId="0" borderId="19" xfId="0" applyNumberFormat="1" applyFont="1" applyBorder="1" applyAlignment="1">
      <alignment/>
    </xf>
    <xf numFmtId="10" fontId="88" fillId="0" borderId="19" xfId="0" applyNumberFormat="1" applyFont="1" applyBorder="1" applyAlignment="1">
      <alignment/>
    </xf>
    <xf numFmtId="172" fontId="88" fillId="0" borderId="0" xfId="69" applyNumberFormat="1" applyFont="1" applyAlignment="1">
      <alignment/>
    </xf>
    <xf numFmtId="172" fontId="87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172" fontId="87" fillId="0" borderId="22" xfId="69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172" fontId="87" fillId="0" borderId="23" xfId="69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172" fontId="87" fillId="0" borderId="24" xfId="69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172" fontId="88" fillId="0" borderId="19" xfId="69" applyNumberFormat="1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172" fontId="3" fillId="0" borderId="20" xfId="69" applyNumberFormat="1" applyFont="1" applyBorder="1" applyAlignment="1">
      <alignment horizontal="center" vertical="center" wrapText="1"/>
    </xf>
    <xf numFmtId="172" fontId="88" fillId="0" borderId="21" xfId="0" applyNumberFormat="1" applyFont="1" applyBorder="1" applyAlignment="1">
      <alignment/>
    </xf>
    <xf numFmtId="10" fontId="88" fillId="0" borderId="21" xfId="0" applyNumberFormat="1" applyFont="1" applyBorder="1" applyAlignment="1">
      <alignment/>
    </xf>
    <xf numFmtId="172" fontId="87" fillId="0" borderId="22" xfId="0" applyNumberFormat="1" applyFont="1" applyBorder="1" applyAlignment="1">
      <alignment/>
    </xf>
    <xf numFmtId="9" fontId="87" fillId="0" borderId="22" xfId="0" applyNumberFormat="1" applyFont="1" applyBorder="1" applyAlignment="1">
      <alignment/>
    </xf>
    <xf numFmtId="172" fontId="87" fillId="0" borderId="23" xfId="0" applyNumberFormat="1" applyFont="1" applyBorder="1" applyAlignment="1">
      <alignment/>
    </xf>
    <xf numFmtId="9" fontId="87" fillId="0" borderId="23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172" fontId="85" fillId="0" borderId="19" xfId="69" applyNumberFormat="1" applyFont="1" applyFill="1" applyBorder="1" applyAlignment="1">
      <alignment horizontal="center" vertical="center" wrapText="1"/>
    </xf>
    <xf numFmtId="173" fontId="85" fillId="0" borderId="19" xfId="69" applyNumberFormat="1" applyFont="1" applyFill="1" applyBorder="1" applyAlignment="1">
      <alignment horizontal="center" vertical="center" wrapText="1"/>
    </xf>
    <xf numFmtId="172" fontId="86" fillId="0" borderId="19" xfId="69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43" fontId="86" fillId="0" borderId="0" xfId="69" applyFont="1" applyAlignment="1">
      <alignment/>
    </xf>
    <xf numFmtId="0" fontId="86" fillId="0" borderId="28" xfId="0" applyFont="1" applyBorder="1" applyAlignment="1">
      <alignment horizontal="center"/>
    </xf>
    <xf numFmtId="0" fontId="86" fillId="0" borderId="19" xfId="0" applyFont="1" applyBorder="1" applyAlignment="1">
      <alignment horizontal="left" wrapText="1"/>
    </xf>
    <xf numFmtId="43" fontId="86" fillId="0" borderId="19" xfId="69" applyNumberFormat="1" applyFont="1" applyBorder="1" applyAlignment="1">
      <alignment/>
    </xf>
    <xf numFmtId="43" fontId="85" fillId="0" borderId="19" xfId="69" applyNumberFormat="1" applyFont="1" applyBorder="1" applyAlignment="1">
      <alignment/>
    </xf>
    <xf numFmtId="0" fontId="86" fillId="0" borderId="27" xfId="0" applyFont="1" applyBorder="1" applyAlignment="1">
      <alignment/>
    </xf>
    <xf numFmtId="0" fontId="85" fillId="0" borderId="27" xfId="0" applyFont="1" applyBorder="1" applyAlignment="1">
      <alignment/>
    </xf>
    <xf numFmtId="173" fontId="85" fillId="0" borderId="19" xfId="69" applyNumberFormat="1" applyFont="1" applyBorder="1" applyAlignment="1">
      <alignment/>
    </xf>
    <xf numFmtId="173" fontId="86" fillId="0" borderId="19" xfId="69" applyNumberFormat="1" applyFont="1" applyBorder="1" applyAlignment="1">
      <alignment/>
    </xf>
    <xf numFmtId="0" fontId="89" fillId="0" borderId="19" xfId="0" applyFont="1" applyBorder="1" applyAlignment="1">
      <alignment horizontal="center"/>
    </xf>
    <xf numFmtId="0" fontId="89" fillId="0" borderId="19" xfId="0" applyFont="1" applyBorder="1" applyAlignment="1">
      <alignment horizontal="left" indent="1"/>
    </xf>
    <xf numFmtId="173" fontId="89" fillId="0" borderId="19" xfId="69" applyNumberFormat="1" applyFont="1" applyBorder="1" applyAlignment="1">
      <alignment/>
    </xf>
    <xf numFmtId="0" fontId="85" fillId="0" borderId="19" xfId="0" applyFont="1" applyBorder="1" applyAlignment="1">
      <alignment horizontal="left" indent="1"/>
    </xf>
    <xf numFmtId="0" fontId="85" fillId="0" borderId="19" xfId="0" applyFont="1" applyBorder="1" applyAlignment="1">
      <alignment horizontal="left" wrapText="1" indent="1"/>
    </xf>
    <xf numFmtId="0" fontId="89" fillId="0" borderId="26" xfId="0" applyFont="1" applyBorder="1" applyAlignment="1">
      <alignment horizontal="left" indent="1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87" fillId="0" borderId="22" xfId="0" applyFont="1" applyBorder="1" applyAlignment="1">
      <alignment/>
    </xf>
    <xf numFmtId="0" fontId="87" fillId="0" borderId="23" xfId="0" applyFont="1" applyBorder="1" applyAlignment="1">
      <alignment/>
    </xf>
    <xf numFmtId="0" fontId="87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69" applyNumberFormat="1" applyFont="1" applyBorder="1" applyAlignment="1">
      <alignment horizontal="center" vertical="center"/>
    </xf>
    <xf numFmtId="49" fontId="4" fillId="0" borderId="26" xfId="69" applyNumberFormat="1" applyFont="1" applyBorder="1" applyAlignment="1">
      <alignment horizontal="center" vertical="center"/>
    </xf>
    <xf numFmtId="172" fontId="88" fillId="0" borderId="26" xfId="69" applyNumberFormat="1" applyFont="1" applyBorder="1" applyAlignment="1">
      <alignment/>
    </xf>
    <xf numFmtId="0" fontId="88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 vertical="center" wrapText="1"/>
    </xf>
    <xf numFmtId="0" fontId="87" fillId="0" borderId="29" xfId="0" applyFont="1" applyBorder="1" applyAlignment="1">
      <alignment/>
    </xf>
    <xf numFmtId="43" fontId="86" fillId="0" borderId="19" xfId="69" applyNumberFormat="1" applyFont="1" applyFill="1" applyBorder="1" applyAlignment="1">
      <alignment horizontal="center" vertical="center" wrapText="1"/>
    </xf>
    <xf numFmtId="2" fontId="86" fillId="0" borderId="19" xfId="69" applyNumberFormat="1" applyFont="1" applyFill="1" applyBorder="1" applyAlignment="1">
      <alignment horizontal="right" vertical="center" wrapText="1"/>
    </xf>
    <xf numFmtId="0" fontId="86" fillId="0" borderId="19" xfId="69" applyNumberFormat="1" applyFont="1" applyBorder="1" applyAlignment="1">
      <alignment/>
    </xf>
    <xf numFmtId="172" fontId="88" fillId="0" borderId="0" xfId="0" applyNumberFormat="1" applyFont="1" applyAlignment="1">
      <alignment/>
    </xf>
    <xf numFmtId="172" fontId="88" fillId="0" borderId="22" xfId="69" applyNumberFormat="1" applyFont="1" applyBorder="1" applyAlignment="1">
      <alignment/>
    </xf>
    <xf numFmtId="0" fontId="8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174" fontId="88" fillId="0" borderId="26" xfId="0" applyNumberFormat="1" applyFont="1" applyBorder="1" applyAlignment="1">
      <alignment/>
    </xf>
    <xf numFmtId="0" fontId="90" fillId="0" borderId="0" xfId="0" applyFont="1" applyAlignment="1">
      <alignment/>
    </xf>
    <xf numFmtId="0" fontId="91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wrapText="1"/>
    </xf>
    <xf numFmtId="0" fontId="54" fillId="0" borderId="19" xfId="0" applyFont="1" applyBorder="1" applyAlignment="1">
      <alignment horizontal="left" vertical="center"/>
    </xf>
    <xf numFmtId="0" fontId="91" fillId="0" borderId="0" xfId="0" applyFont="1" applyAlignment="1">
      <alignment/>
    </xf>
    <xf numFmtId="0" fontId="90" fillId="0" borderId="22" xfId="0" applyFont="1" applyBorder="1" applyAlignment="1">
      <alignment horizontal="center" vertical="top" wrapText="1"/>
    </xf>
    <xf numFmtId="0" fontId="90" fillId="0" borderId="22" xfId="0" applyFont="1" applyBorder="1" applyAlignment="1">
      <alignment horizontal="left" wrapText="1"/>
    </xf>
    <xf numFmtId="0" fontId="90" fillId="0" borderId="22" xfId="0" applyFont="1" applyBorder="1" applyAlignment="1">
      <alignment horizontal="center" wrapText="1"/>
    </xf>
    <xf numFmtId="0" fontId="90" fillId="0" borderId="23" xfId="0" applyFont="1" applyBorder="1" applyAlignment="1">
      <alignment horizontal="center" vertical="top" wrapText="1"/>
    </xf>
    <xf numFmtId="0" fontId="90" fillId="0" borderId="23" xfId="0" applyFont="1" applyBorder="1" applyAlignment="1">
      <alignment horizontal="left" wrapText="1"/>
    </xf>
    <xf numFmtId="0" fontId="90" fillId="0" borderId="23" xfId="0" applyFont="1" applyBorder="1" applyAlignment="1">
      <alignment horizontal="center" wrapText="1"/>
    </xf>
    <xf numFmtId="0" fontId="90" fillId="0" borderId="24" xfId="0" applyFont="1" applyBorder="1" applyAlignment="1">
      <alignment horizontal="center" vertical="top" wrapText="1"/>
    </xf>
    <xf numFmtId="0" fontId="90" fillId="0" borderId="24" xfId="0" applyFont="1" applyBorder="1" applyAlignment="1">
      <alignment horizontal="left" wrapText="1"/>
    </xf>
    <xf numFmtId="0" fontId="90" fillId="0" borderId="24" xfId="0" applyFont="1" applyBorder="1" applyAlignment="1">
      <alignment horizontal="center" wrapText="1"/>
    </xf>
    <xf numFmtId="0" fontId="91" fillId="0" borderId="19" xfId="0" applyFont="1" applyBorder="1" applyAlignment="1">
      <alignment horizontal="center" vertical="top" wrapText="1"/>
    </xf>
    <xf numFmtId="0" fontId="90" fillId="0" borderId="23" xfId="0" applyFont="1" applyBorder="1" applyAlignment="1">
      <alignment horizontal="center"/>
    </xf>
    <xf numFmtId="0" fontId="90" fillId="0" borderId="32" xfId="0" applyFont="1" applyBorder="1" applyAlignment="1">
      <alignment horizontal="center" vertical="top" wrapText="1"/>
    </xf>
    <xf numFmtId="0" fontId="90" fillId="0" borderId="32" xfId="0" applyFont="1" applyBorder="1" applyAlignment="1">
      <alignment horizontal="left" wrapText="1"/>
    </xf>
    <xf numFmtId="0" fontId="90" fillId="0" borderId="32" xfId="0" applyFont="1" applyBorder="1" applyAlignment="1">
      <alignment horizontal="center" wrapText="1"/>
    </xf>
    <xf numFmtId="0" fontId="90" fillId="0" borderId="32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0" fontId="91" fillId="0" borderId="19" xfId="0" applyFont="1" applyBorder="1" applyAlignment="1">
      <alignment horizontal="left" wrapText="1"/>
    </xf>
    <xf numFmtId="0" fontId="90" fillId="0" borderId="22" xfId="0" applyFont="1" applyBorder="1" applyAlignment="1">
      <alignment horizontal="center"/>
    </xf>
    <xf numFmtId="0" fontId="91" fillId="0" borderId="19" xfId="0" applyFont="1" applyBorder="1" applyAlignment="1">
      <alignment/>
    </xf>
    <xf numFmtId="0" fontId="91" fillId="0" borderId="19" xfId="0" applyFont="1" applyBorder="1" applyAlignment="1">
      <alignment horizontal="left"/>
    </xf>
    <xf numFmtId="0" fontId="91" fillId="0" borderId="19" xfId="0" applyFont="1" applyBorder="1" applyAlignment="1">
      <alignment horizontal="center"/>
    </xf>
    <xf numFmtId="0" fontId="90" fillId="0" borderId="0" xfId="0" applyFont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19" xfId="0" applyFont="1" applyBorder="1" applyAlignment="1">
      <alignment/>
    </xf>
    <xf numFmtId="0" fontId="86" fillId="0" borderId="0" xfId="0" applyFont="1" applyAlignment="1">
      <alignment/>
    </xf>
    <xf numFmtId="0" fontId="85" fillId="0" borderId="19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5" fillId="0" borderId="21" xfId="0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86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86" fillId="0" borderId="32" xfId="0" applyFont="1" applyBorder="1" applyAlignment="1">
      <alignment horizontal="center"/>
    </xf>
    <xf numFmtId="0" fontId="86" fillId="0" borderId="0" xfId="0" applyFont="1" applyAlignment="1">
      <alignment horizontal="center"/>
    </xf>
    <xf numFmtId="172" fontId="86" fillId="49" borderId="19" xfId="69" applyNumberFormat="1" applyFont="1" applyFill="1" applyBorder="1" applyAlignment="1">
      <alignment/>
    </xf>
    <xf numFmtId="172" fontId="85" fillId="49" borderId="19" xfId="69" applyNumberFormat="1" applyFont="1" applyFill="1" applyBorder="1" applyAlignment="1">
      <alignment horizontal="center" vertical="center" wrapText="1"/>
    </xf>
    <xf numFmtId="172" fontId="86" fillId="49" borderId="19" xfId="69" applyNumberFormat="1" applyFont="1" applyFill="1" applyBorder="1" applyAlignment="1">
      <alignment horizontal="center" vertical="center" wrapText="1"/>
    </xf>
    <xf numFmtId="0" fontId="86" fillId="49" borderId="0" xfId="0" applyFont="1" applyFill="1" applyAlignment="1">
      <alignment/>
    </xf>
    <xf numFmtId="43" fontId="86" fillId="49" borderId="19" xfId="69" applyNumberFormat="1" applyFont="1" applyFill="1" applyBorder="1" applyAlignment="1">
      <alignment/>
    </xf>
    <xf numFmtId="43" fontId="85" fillId="49" borderId="19" xfId="69" applyNumberFormat="1" applyFont="1" applyFill="1" applyBorder="1" applyAlignment="1">
      <alignment/>
    </xf>
    <xf numFmtId="10" fontId="87" fillId="49" borderId="22" xfId="0" applyNumberFormat="1" applyFont="1" applyFill="1" applyBorder="1" applyAlignment="1">
      <alignment/>
    </xf>
    <xf numFmtId="172" fontId="88" fillId="0" borderId="21" xfId="69" applyNumberFormat="1" applyFont="1" applyBorder="1" applyAlignment="1">
      <alignment/>
    </xf>
    <xf numFmtId="172" fontId="88" fillId="0" borderId="0" xfId="0" applyNumberFormat="1" applyFont="1" applyBorder="1" applyAlignment="1">
      <alignment/>
    </xf>
    <xf numFmtId="1" fontId="88" fillId="0" borderId="0" xfId="0" applyNumberFormat="1" applyFont="1" applyBorder="1" applyAlignment="1">
      <alignment/>
    </xf>
    <xf numFmtId="10" fontId="88" fillId="0" borderId="22" xfId="69" applyNumberFormat="1" applyFont="1" applyFill="1" applyBorder="1" applyAlignment="1">
      <alignment/>
    </xf>
    <xf numFmtId="10" fontId="88" fillId="0" borderId="0" xfId="69" applyNumberFormat="1" applyFont="1" applyFill="1" applyBorder="1" applyAlignment="1">
      <alignment/>
    </xf>
    <xf numFmtId="1" fontId="88" fillId="0" borderId="0" xfId="0" applyNumberFormat="1" applyFont="1" applyAlignment="1">
      <alignment/>
    </xf>
    <xf numFmtId="0" fontId="85" fillId="0" borderId="19" xfId="0" applyFont="1" applyFill="1" applyBorder="1" applyAlignment="1">
      <alignment/>
    </xf>
    <xf numFmtId="172" fontId="85" fillId="0" borderId="19" xfId="69" applyNumberFormat="1" applyFont="1" applyFill="1" applyBorder="1" applyAlignment="1">
      <alignment/>
    </xf>
    <xf numFmtId="172" fontId="86" fillId="0" borderId="19" xfId="69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172" fontId="86" fillId="0" borderId="33" xfId="69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172" fontId="7" fillId="0" borderId="23" xfId="6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72" fontId="7" fillId="0" borderId="32" xfId="69" applyNumberFormat="1" applyFont="1" applyFill="1" applyBorder="1" applyAlignment="1">
      <alignment/>
    </xf>
    <xf numFmtId="172" fontId="86" fillId="0" borderId="25" xfId="69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72" fontId="86" fillId="0" borderId="0" xfId="0" applyNumberFormat="1" applyFont="1" applyFill="1" applyBorder="1" applyAlignment="1">
      <alignment/>
    </xf>
    <xf numFmtId="172" fontId="86" fillId="0" borderId="0" xfId="69" applyNumberFormat="1" applyFont="1" applyFill="1" applyBorder="1" applyAlignment="1">
      <alignment/>
    </xf>
    <xf numFmtId="172" fontId="92" fillId="0" borderId="33" xfId="69" applyNumberFormat="1" applyFont="1" applyFill="1" applyBorder="1" applyAlignment="1">
      <alignment/>
    </xf>
    <xf numFmtId="2" fontId="86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172" fontId="92" fillId="0" borderId="25" xfId="69" applyNumberFormat="1" applyFont="1" applyFill="1" applyBorder="1" applyAlignment="1">
      <alignment/>
    </xf>
    <xf numFmtId="172" fontId="7" fillId="0" borderId="33" xfId="69" applyNumberFormat="1" applyFont="1" applyFill="1" applyBorder="1" applyAlignment="1">
      <alignment/>
    </xf>
    <xf numFmtId="0" fontId="87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 wrapText="1"/>
    </xf>
    <xf numFmtId="10" fontId="87" fillId="0" borderId="0" xfId="69" applyNumberFormat="1" applyFont="1" applyAlignment="1">
      <alignment/>
    </xf>
    <xf numFmtId="172" fontId="87" fillId="0" borderId="22" xfId="69" applyNumberFormat="1" applyFont="1" applyFill="1" applyBorder="1" applyAlignment="1">
      <alignment/>
    </xf>
    <xf numFmtId="10" fontId="87" fillId="0" borderId="22" xfId="69" applyNumberFormat="1" applyFont="1" applyFill="1" applyBorder="1" applyAlignment="1">
      <alignment/>
    </xf>
    <xf numFmtId="10" fontId="87" fillId="0" borderId="0" xfId="69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172" fontId="87" fillId="0" borderId="23" xfId="69" applyNumberFormat="1" applyFont="1" applyFill="1" applyBorder="1" applyAlignment="1">
      <alignment/>
    </xf>
    <xf numFmtId="10" fontId="87" fillId="0" borderId="23" xfId="0" applyNumberFormat="1" applyFont="1" applyFill="1" applyBorder="1" applyAlignment="1">
      <alignment/>
    </xf>
    <xf numFmtId="10" fontId="87" fillId="0" borderId="0" xfId="0" applyNumberFormat="1" applyFont="1" applyFill="1" applyBorder="1" applyAlignment="1">
      <alignment/>
    </xf>
    <xf numFmtId="0" fontId="87" fillId="0" borderId="23" xfId="0" applyFont="1" applyFill="1" applyBorder="1" applyAlignment="1">
      <alignment/>
    </xf>
    <xf numFmtId="172" fontId="4" fillId="0" borderId="23" xfId="69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72" fontId="87" fillId="0" borderId="32" xfId="69" applyNumberFormat="1" applyFont="1" applyFill="1" applyBorder="1" applyAlignment="1">
      <alignment/>
    </xf>
    <xf numFmtId="10" fontId="4" fillId="0" borderId="32" xfId="0" applyNumberFormat="1" applyFont="1" applyFill="1" applyBorder="1" applyAlignment="1">
      <alignment/>
    </xf>
    <xf numFmtId="0" fontId="87" fillId="0" borderId="32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88" fillId="0" borderId="19" xfId="69" applyNumberFormat="1" applyFont="1" applyFill="1" applyBorder="1" applyAlignment="1">
      <alignment/>
    </xf>
    <xf numFmtId="10" fontId="88" fillId="0" borderId="19" xfId="0" applyNumberFormat="1" applyFont="1" applyFill="1" applyBorder="1" applyAlignment="1">
      <alignment/>
    </xf>
    <xf numFmtId="1" fontId="88" fillId="0" borderId="19" xfId="0" applyNumberFormat="1" applyFont="1" applyFill="1" applyBorder="1" applyAlignment="1">
      <alignment/>
    </xf>
    <xf numFmtId="1" fontId="87" fillId="0" borderId="19" xfId="0" applyNumberFormat="1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72" fontId="87" fillId="0" borderId="33" xfId="69" applyNumberFormat="1" applyFont="1" applyFill="1" applyBorder="1" applyAlignment="1">
      <alignment/>
    </xf>
    <xf numFmtId="10" fontId="87" fillId="0" borderId="33" xfId="0" applyNumberFormat="1" applyFont="1" applyFill="1" applyBorder="1" applyAlignment="1">
      <alignment/>
    </xf>
    <xf numFmtId="0" fontId="87" fillId="0" borderId="33" xfId="0" applyFont="1" applyFill="1" applyBorder="1" applyAlignment="1">
      <alignment/>
    </xf>
    <xf numFmtId="172" fontId="87" fillId="0" borderId="24" xfId="69" applyNumberFormat="1" applyFont="1" applyFill="1" applyBorder="1" applyAlignment="1">
      <alignment/>
    </xf>
    <xf numFmtId="10" fontId="87" fillId="0" borderId="24" xfId="0" applyNumberFormat="1" applyFont="1" applyFill="1" applyBorder="1" applyAlignment="1">
      <alignment/>
    </xf>
    <xf numFmtId="0" fontId="8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72" fontId="88" fillId="0" borderId="25" xfId="69" applyNumberFormat="1" applyFont="1" applyFill="1" applyBorder="1" applyAlignment="1">
      <alignment/>
    </xf>
    <xf numFmtId="10" fontId="88" fillId="0" borderId="25" xfId="0" applyNumberFormat="1" applyFont="1" applyFill="1" applyBorder="1" applyAlignment="1">
      <alignment/>
    </xf>
    <xf numFmtId="10" fontId="88" fillId="0" borderId="0" xfId="0" applyNumberFormat="1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Alignment="1">
      <alignment/>
    </xf>
    <xf numFmtId="10" fontId="87" fillId="0" borderId="22" xfId="0" applyNumberFormat="1" applyFont="1" applyFill="1" applyBorder="1" applyAlignment="1">
      <alignment/>
    </xf>
    <xf numFmtId="10" fontId="87" fillId="0" borderId="32" xfId="0" applyNumberFormat="1" applyFont="1" applyFill="1" applyBorder="1" applyAlignment="1">
      <alignment/>
    </xf>
    <xf numFmtId="172" fontId="88" fillId="0" borderId="0" xfId="69" applyNumberFormat="1" applyFont="1" applyFill="1" applyBorder="1" applyAlignment="1">
      <alignment/>
    </xf>
    <xf numFmtId="172" fontId="87" fillId="0" borderId="25" xfId="69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172" fontId="88" fillId="0" borderId="26" xfId="69" applyNumberFormat="1" applyFont="1" applyFill="1" applyBorder="1" applyAlignment="1">
      <alignment/>
    </xf>
    <xf numFmtId="174" fontId="88" fillId="0" borderId="26" xfId="135" applyNumberFormat="1" applyFont="1" applyFill="1" applyBorder="1" applyAlignment="1">
      <alignment/>
    </xf>
    <xf numFmtId="174" fontId="88" fillId="0" borderId="0" xfId="135" applyNumberFormat="1" applyFont="1" applyFill="1" applyBorder="1" applyAlignment="1">
      <alignment/>
    </xf>
    <xf numFmtId="0" fontId="87" fillId="0" borderId="0" xfId="0" applyFont="1" applyFill="1" applyAlignment="1">
      <alignment/>
    </xf>
    <xf numFmtId="172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72" fontId="87" fillId="0" borderId="0" xfId="69" applyNumberFormat="1" applyFont="1" applyFill="1" applyAlignment="1">
      <alignment/>
    </xf>
    <xf numFmtId="173" fontId="87" fillId="0" borderId="0" xfId="69" applyNumberFormat="1" applyFont="1" applyFill="1" applyAlignment="1">
      <alignment/>
    </xf>
    <xf numFmtId="0" fontId="87" fillId="0" borderId="29" xfId="0" applyFont="1" applyFill="1" applyBorder="1" applyAlignment="1">
      <alignment/>
    </xf>
    <xf numFmtId="10" fontId="87" fillId="0" borderId="0" xfId="69" applyNumberFormat="1" applyFont="1" applyFill="1" applyAlignment="1">
      <alignment/>
    </xf>
    <xf numFmtId="172" fontId="88" fillId="0" borderId="0" xfId="0" applyNumberFormat="1" applyFont="1" applyFill="1" applyBorder="1" applyAlignment="1">
      <alignment/>
    </xf>
    <xf numFmtId="172" fontId="93" fillId="0" borderId="22" xfId="69" applyNumberFormat="1" applyFont="1" applyFill="1" applyBorder="1" applyAlignment="1">
      <alignment/>
    </xf>
    <xf numFmtId="172" fontId="94" fillId="0" borderId="22" xfId="69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2" fontId="87" fillId="0" borderId="22" xfId="69" applyNumberFormat="1" applyFont="1" applyFill="1" applyBorder="1" applyAlignment="1">
      <alignment/>
    </xf>
    <xf numFmtId="9" fontId="87" fillId="0" borderId="22" xfId="0" applyNumberFormat="1" applyFont="1" applyFill="1" applyBorder="1" applyAlignment="1">
      <alignment/>
    </xf>
    <xf numFmtId="1" fontId="88" fillId="0" borderId="0" xfId="0" applyNumberFormat="1" applyFont="1" applyFill="1" applyAlignment="1">
      <alignment/>
    </xf>
    <xf numFmtId="172" fontId="87" fillId="0" borderId="22" xfId="0" applyNumberFormat="1" applyFont="1" applyFill="1" applyBorder="1" applyAlignment="1">
      <alignment/>
    </xf>
    <xf numFmtId="2" fontId="87" fillId="0" borderId="23" xfId="69" applyNumberFormat="1" applyFont="1" applyFill="1" applyBorder="1" applyAlignment="1">
      <alignment/>
    </xf>
    <xf numFmtId="9" fontId="87" fillId="0" borderId="23" xfId="0" applyNumberFormat="1" applyFont="1" applyFill="1" applyBorder="1" applyAlignment="1">
      <alignment/>
    </xf>
    <xf numFmtId="172" fontId="87" fillId="0" borderId="23" xfId="0" applyNumberFormat="1" applyFont="1" applyFill="1" applyBorder="1" applyAlignment="1">
      <alignment/>
    </xf>
    <xf numFmtId="2" fontId="4" fillId="0" borderId="23" xfId="69" applyNumberFormat="1" applyFont="1" applyFill="1" applyBorder="1" applyAlignment="1">
      <alignment/>
    </xf>
    <xf numFmtId="9" fontId="4" fillId="0" borderId="23" xfId="0" applyNumberFormat="1" applyFont="1" applyFill="1" applyBorder="1" applyAlignment="1">
      <alignment/>
    </xf>
    <xf numFmtId="2" fontId="87" fillId="0" borderId="24" xfId="69" applyNumberFormat="1" applyFont="1" applyFill="1" applyBorder="1" applyAlignment="1">
      <alignment/>
    </xf>
    <xf numFmtId="174" fontId="87" fillId="0" borderId="24" xfId="0" applyNumberFormat="1" applyFont="1" applyFill="1" applyBorder="1" applyAlignment="1">
      <alignment/>
    </xf>
    <xf numFmtId="172" fontId="87" fillId="0" borderId="24" xfId="0" applyNumberFormat="1" applyFont="1" applyFill="1" applyBorder="1" applyAlignment="1">
      <alignment/>
    </xf>
    <xf numFmtId="10" fontId="88" fillId="0" borderId="19" xfId="69" applyNumberFormat="1" applyFont="1" applyFill="1" applyBorder="1" applyAlignment="1">
      <alignment/>
    </xf>
    <xf numFmtId="172" fontId="88" fillId="0" borderId="19" xfId="0" applyNumberFormat="1" applyFont="1" applyFill="1" applyBorder="1" applyAlignment="1">
      <alignment/>
    </xf>
    <xf numFmtId="172" fontId="87" fillId="0" borderId="21" xfId="69" applyNumberFormat="1" applyFont="1" applyFill="1" applyBorder="1" applyAlignment="1">
      <alignment/>
    </xf>
    <xf numFmtId="172" fontId="87" fillId="0" borderId="34" xfId="69" applyNumberFormat="1" applyFont="1" applyFill="1" applyBorder="1" applyAlignment="1">
      <alignment/>
    </xf>
    <xf numFmtId="9" fontId="87" fillId="0" borderId="35" xfId="0" applyNumberFormat="1" applyFont="1" applyFill="1" applyBorder="1" applyAlignment="1">
      <alignment/>
    </xf>
    <xf numFmtId="9" fontId="87" fillId="0" borderId="24" xfId="0" applyNumberFormat="1" applyFont="1" applyFill="1" applyBorder="1" applyAlignment="1">
      <alignment/>
    </xf>
    <xf numFmtId="9" fontId="87" fillId="0" borderId="32" xfId="0" applyNumberFormat="1" applyFont="1" applyFill="1" applyBorder="1" applyAlignment="1">
      <alignment/>
    </xf>
    <xf numFmtId="0" fontId="85" fillId="0" borderId="19" xfId="0" applyFont="1" applyBorder="1" applyAlignment="1">
      <alignment horizontal="center"/>
    </xf>
    <xf numFmtId="173" fontId="85" fillId="0" borderId="19" xfId="0" applyNumberFormat="1" applyFont="1" applyBorder="1" applyAlignment="1">
      <alignment/>
    </xf>
    <xf numFmtId="173" fontId="86" fillId="0" borderId="19" xfId="0" applyNumberFormat="1" applyFont="1" applyBorder="1" applyAlignment="1">
      <alignment/>
    </xf>
    <xf numFmtId="0" fontId="89" fillId="0" borderId="19" xfId="0" applyFont="1" applyBorder="1" applyAlignment="1">
      <alignment/>
    </xf>
    <xf numFmtId="173" fontId="89" fillId="0" borderId="19" xfId="0" applyNumberFormat="1" applyFont="1" applyBorder="1" applyAlignment="1">
      <alignment/>
    </xf>
    <xf numFmtId="0" fontId="89" fillId="0" borderId="26" xfId="0" applyFont="1" applyBorder="1" applyAlignment="1">
      <alignment horizontal="center"/>
    </xf>
    <xf numFmtId="0" fontId="89" fillId="0" borderId="26" xfId="0" applyFont="1" applyBorder="1" applyAlignment="1">
      <alignment/>
    </xf>
    <xf numFmtId="172" fontId="8" fillId="0" borderId="19" xfId="69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86" fillId="0" borderId="24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86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5" fillId="0" borderId="22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5" fillId="0" borderId="19" xfId="0" applyFont="1" applyFill="1" applyBorder="1" applyAlignment="1">
      <alignment horizontal="center" vertical="center"/>
    </xf>
    <xf numFmtId="172" fontId="8" fillId="0" borderId="19" xfId="69" applyNumberFormat="1" applyFont="1" applyFill="1" applyBorder="1" applyAlignment="1">
      <alignment horizontal="center" vertical="center" wrapText="1"/>
    </xf>
    <xf numFmtId="173" fontId="8" fillId="0" borderId="19" xfId="69" applyNumberFormat="1" applyFont="1" applyFill="1" applyBorder="1" applyAlignment="1">
      <alignment horizontal="center" vertical="center" wrapText="1"/>
    </xf>
    <xf numFmtId="173" fontId="8" fillId="0" borderId="19" xfId="69" applyNumberFormat="1" applyFont="1" applyBorder="1" applyAlignment="1">
      <alignment/>
    </xf>
    <xf numFmtId="173" fontId="7" fillId="0" borderId="19" xfId="69" applyNumberFormat="1" applyFont="1" applyBorder="1" applyAlignment="1">
      <alignment/>
    </xf>
    <xf numFmtId="173" fontId="9" fillId="0" borderId="19" xfId="69" applyNumberFormat="1" applyFont="1" applyBorder="1" applyAlignment="1">
      <alignment/>
    </xf>
    <xf numFmtId="43" fontId="7" fillId="0" borderId="0" xfId="69" applyFont="1" applyAlignment="1">
      <alignment/>
    </xf>
    <xf numFmtId="173" fontId="85" fillId="0" borderId="19" xfId="69" applyNumberFormat="1" applyFont="1" applyFill="1" applyBorder="1" applyAlignment="1">
      <alignment/>
    </xf>
    <xf numFmtId="173" fontId="86" fillId="0" borderId="19" xfId="69" applyNumberFormat="1" applyFont="1" applyFill="1" applyBorder="1" applyAlignment="1">
      <alignment/>
    </xf>
    <xf numFmtId="173" fontId="89" fillId="0" borderId="19" xfId="69" applyNumberFormat="1" applyFont="1" applyFill="1" applyBorder="1" applyAlignment="1">
      <alignment/>
    </xf>
    <xf numFmtId="43" fontId="86" fillId="0" borderId="0" xfId="69" applyFont="1" applyFill="1" applyAlignment="1">
      <alignment/>
    </xf>
    <xf numFmtId="0" fontId="86" fillId="0" borderId="0" xfId="0" applyFont="1" applyFill="1" applyAlignment="1">
      <alignment/>
    </xf>
    <xf numFmtId="0" fontId="85" fillId="0" borderId="20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21" xfId="0" applyFont="1" applyBorder="1" applyAlignment="1">
      <alignment horizontal="center" vertical="center" wrapText="1"/>
    </xf>
    <xf numFmtId="2" fontId="85" fillId="0" borderId="19" xfId="69" applyNumberFormat="1" applyFont="1" applyFill="1" applyBorder="1" applyAlignment="1">
      <alignment/>
    </xf>
    <xf numFmtId="172" fontId="87" fillId="0" borderId="19" xfId="0" applyNumberFormat="1" applyFont="1" applyBorder="1" applyAlignment="1">
      <alignment/>
    </xf>
    <xf numFmtId="0" fontId="7" fillId="0" borderId="25" xfId="0" applyFont="1" applyBorder="1" applyAlignment="1">
      <alignment/>
    </xf>
    <xf numFmtId="172" fontId="89" fillId="0" borderId="19" xfId="69" applyNumberFormat="1" applyFont="1" applyFill="1" applyBorder="1" applyAlignment="1">
      <alignment/>
    </xf>
    <xf numFmtId="172" fontId="95" fillId="0" borderId="19" xfId="69" applyNumberFormat="1" applyFont="1" applyFill="1" applyBorder="1" applyAlignment="1">
      <alignment/>
    </xf>
    <xf numFmtId="172" fontId="85" fillId="0" borderId="0" xfId="0" applyNumberFormat="1" applyFont="1" applyFill="1" applyAlignment="1">
      <alignment/>
    </xf>
    <xf numFmtId="43" fontId="85" fillId="0" borderId="0" xfId="69" applyFont="1" applyFill="1" applyAlignment="1">
      <alignment/>
    </xf>
    <xf numFmtId="0" fontId="85" fillId="0" borderId="0" xfId="0" applyFont="1" applyFill="1" applyAlignment="1">
      <alignment/>
    </xf>
    <xf numFmtId="0" fontId="89" fillId="0" borderId="19" xfId="0" applyFont="1" applyBorder="1" applyAlignment="1" quotePrefix="1">
      <alignment horizontal="left" indent="1"/>
    </xf>
    <xf numFmtId="0" fontId="95" fillId="0" borderId="0" xfId="0" applyFont="1" applyAlignment="1">
      <alignment/>
    </xf>
    <xf numFmtId="172" fontId="85" fillId="0" borderId="19" xfId="0" applyNumberFormat="1" applyFont="1" applyBorder="1" applyAlignment="1">
      <alignment/>
    </xf>
    <xf numFmtId="172" fontId="86" fillId="0" borderId="19" xfId="0" applyNumberFormat="1" applyFont="1" applyBorder="1" applyAlignment="1">
      <alignment/>
    </xf>
    <xf numFmtId="172" fontId="92" fillId="0" borderId="19" xfId="69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5" fillId="0" borderId="19" xfId="0" applyFont="1" applyBorder="1" applyAlignment="1">
      <alignment wrapText="1"/>
    </xf>
    <xf numFmtId="3" fontId="85" fillId="0" borderId="19" xfId="0" applyNumberFormat="1" applyFont="1" applyBorder="1" applyAlignment="1">
      <alignment/>
    </xf>
    <xf numFmtId="3" fontId="86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" fontId="10" fillId="0" borderId="23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wrapText="1"/>
    </xf>
    <xf numFmtId="172" fontId="10" fillId="0" borderId="23" xfId="69" applyNumberFormat="1" applyFont="1" applyBorder="1" applyAlignment="1">
      <alignment horizontal="left" wrapText="1"/>
    </xf>
    <xf numFmtId="0" fontId="86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6" fillId="0" borderId="33" xfId="0" applyFont="1" applyBorder="1" applyAlignment="1">
      <alignment horizontal="left" vertical="center"/>
    </xf>
    <xf numFmtId="0" fontId="86" fillId="0" borderId="33" xfId="0" applyFont="1" applyBorder="1" applyAlignment="1" quotePrefix="1">
      <alignment horizontal="left" vertical="center"/>
    </xf>
    <xf numFmtId="0" fontId="86" fillId="0" borderId="33" xfId="0" applyFont="1" applyBorder="1" applyAlignment="1" quotePrefix="1">
      <alignment horizontal="left" vertical="center" wrapText="1"/>
    </xf>
    <xf numFmtId="0" fontId="86" fillId="0" borderId="3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wrapText="1"/>
    </xf>
    <xf numFmtId="0" fontId="86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 vertical="center" wrapText="1"/>
    </xf>
    <xf numFmtId="0" fontId="8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86" fillId="0" borderId="23" xfId="0" applyFont="1" applyBorder="1" applyAlignment="1" quotePrefix="1">
      <alignment horizontal="left"/>
    </xf>
    <xf numFmtId="0" fontId="7" fillId="0" borderId="33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86" fillId="0" borderId="23" xfId="0" applyFont="1" applyBorder="1" applyAlignment="1">
      <alignment horizontal="left" vertical="center" wrapText="1"/>
    </xf>
    <xf numFmtId="3" fontId="86" fillId="0" borderId="23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4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90" fillId="0" borderId="33" xfId="0" applyFont="1" applyBorder="1" applyAlignment="1">
      <alignment horizontal="left" wrapText="1"/>
    </xf>
    <xf numFmtId="0" fontId="90" fillId="0" borderId="33" xfId="0" applyFont="1" applyBorder="1" applyAlignment="1">
      <alignment horizontal="center" wrapText="1"/>
    </xf>
    <xf numFmtId="0" fontId="90" fillId="0" borderId="39" xfId="0" applyFont="1" applyBorder="1" applyAlignment="1">
      <alignment/>
    </xf>
    <xf numFmtId="0" fontId="7" fillId="0" borderId="32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3" fontId="86" fillId="0" borderId="23" xfId="0" applyNumberFormat="1" applyFont="1" applyBorder="1" applyAlignment="1">
      <alignment horizontal="right" vertical="center"/>
    </xf>
    <xf numFmtId="3" fontId="86" fillId="0" borderId="23" xfId="0" applyNumberFormat="1" applyFont="1" applyBorder="1" applyAlignment="1" quotePrefix="1">
      <alignment horizontal="right" vertic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 quotePrefix="1">
      <alignment horizontal="right" vertical="center"/>
    </xf>
    <xf numFmtId="0" fontId="7" fillId="0" borderId="34" xfId="0" applyFont="1" applyBorder="1" applyAlignment="1">
      <alignment horizontal="right"/>
    </xf>
    <xf numFmtId="0" fontId="85" fillId="0" borderId="19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0" fillId="0" borderId="25" xfId="0" applyFont="1" applyBorder="1" applyAlignment="1">
      <alignment horizontal="center" vertical="top" wrapText="1"/>
    </xf>
    <xf numFmtId="0" fontId="90" fillId="0" borderId="33" xfId="0" applyFont="1" applyBorder="1" applyAlignment="1">
      <alignment horizontal="center"/>
    </xf>
    <xf numFmtId="0" fontId="91" fillId="0" borderId="19" xfId="0" applyFont="1" applyBorder="1" applyAlignment="1">
      <alignment horizontal="center" vertical="top" wrapText="1"/>
    </xf>
    <xf numFmtId="0" fontId="91" fillId="0" borderId="19" xfId="0" applyFont="1" applyBorder="1" applyAlignment="1">
      <alignment horizontal="left" wrapText="1"/>
    </xf>
    <xf numFmtId="0" fontId="91" fillId="0" borderId="19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wrapText="1"/>
    </xf>
    <xf numFmtId="0" fontId="7" fillId="0" borderId="32" xfId="0" applyFont="1" applyBorder="1" applyAlignment="1">
      <alignment horizontal="left" wrapText="1"/>
    </xf>
    <xf numFmtId="0" fontId="7" fillId="0" borderId="25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6" fillId="0" borderId="26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/>
    </xf>
    <xf numFmtId="0" fontId="97" fillId="0" borderId="19" xfId="0" applyFont="1" applyBorder="1" applyAlignment="1">
      <alignment wrapText="1"/>
    </xf>
    <xf numFmtId="3" fontId="97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5" fontId="0" fillId="0" borderId="19" xfId="0" applyNumberFormat="1" applyBorder="1" applyAlignment="1">
      <alignment vertical="center" wrapText="1"/>
    </xf>
    <xf numFmtId="175" fontId="13" fillId="0" borderId="19" xfId="0" applyNumberFormat="1" applyFont="1" applyBorder="1" applyAlignment="1" quotePrefix="1">
      <alignment horizontal="center" vertical="center" wrapText="1"/>
    </xf>
    <xf numFmtId="175" fontId="0" fillId="0" borderId="19" xfId="0" applyNumberFormat="1" applyBorder="1" applyAlignment="1">
      <alignment horizontal="center" vertical="center" wrapText="1"/>
    </xf>
    <xf numFmtId="175" fontId="14" fillId="0" borderId="19" xfId="0" applyNumberFormat="1" applyFont="1" applyBorder="1" applyAlignment="1">
      <alignment horizontal="center" vertical="center" wrapText="1"/>
    </xf>
    <xf numFmtId="175" fontId="14" fillId="0" borderId="19" xfId="0" applyNumberFormat="1" applyFont="1" applyBorder="1" applyAlignment="1" quotePrefix="1">
      <alignment horizontal="center" vertical="center" wrapText="1"/>
    </xf>
    <xf numFmtId="175" fontId="0" fillId="0" borderId="21" xfId="0" applyNumberFormat="1" applyBorder="1" applyAlignment="1">
      <alignment vertical="center" wrapText="1"/>
    </xf>
    <xf numFmtId="175" fontId="0" fillId="0" borderId="25" xfId="0" applyNumberFormat="1" applyBorder="1" applyAlignment="1">
      <alignment vertical="center" wrapText="1"/>
    </xf>
    <xf numFmtId="175" fontId="0" fillId="0" borderId="26" xfId="0" applyNumberFormat="1" applyBorder="1" applyAlignment="1">
      <alignment vertical="center" wrapText="1"/>
    </xf>
    <xf numFmtId="0" fontId="11" fillId="0" borderId="27" xfId="0" applyFont="1" applyBorder="1" applyAlignment="1">
      <alignment/>
    </xf>
    <xf numFmtId="172" fontId="7" fillId="0" borderId="33" xfId="69" applyNumberFormat="1" applyFont="1" applyBorder="1" applyAlignment="1">
      <alignment/>
    </xf>
    <xf numFmtId="172" fontId="7" fillId="0" borderId="33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8" fillId="0" borderId="19" xfId="69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172" fontId="7" fillId="0" borderId="22" xfId="69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2" fontId="7" fillId="0" borderId="24" xfId="69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2" fontId="12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86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0" fontId="91" fillId="0" borderId="19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4" xfId="0" applyFont="1" applyBorder="1" applyAlignment="1">
      <alignment/>
    </xf>
    <xf numFmtId="0" fontId="91" fillId="0" borderId="22" xfId="0" applyFont="1" applyBorder="1" applyAlignment="1">
      <alignment horizontal="center" wrapText="1"/>
    </xf>
    <xf numFmtId="0" fontId="85" fillId="0" borderId="21" xfId="0" applyFont="1" applyBorder="1" applyAlignment="1">
      <alignment horizontal="center" vertical="center"/>
    </xf>
    <xf numFmtId="172" fontId="98" fillId="0" borderId="19" xfId="0" applyNumberFormat="1" applyFont="1" applyFill="1" applyBorder="1" applyAlignment="1">
      <alignment/>
    </xf>
    <xf numFmtId="172" fontId="7" fillId="0" borderId="22" xfId="69" applyNumberFormat="1" applyFont="1" applyFill="1" applyBorder="1" applyAlignment="1">
      <alignment horizontal="center"/>
    </xf>
    <xf numFmtId="172" fontId="7" fillId="0" borderId="23" xfId="69" applyNumberFormat="1" applyFont="1" applyFill="1" applyBorder="1" applyAlignment="1">
      <alignment horizontal="center"/>
    </xf>
    <xf numFmtId="172" fontId="7" fillId="0" borderId="24" xfId="69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2" fontId="87" fillId="0" borderId="33" xfId="69" applyNumberFormat="1" applyFont="1" applyFill="1" applyBorder="1" applyAlignment="1">
      <alignment/>
    </xf>
    <xf numFmtId="172" fontId="87" fillId="0" borderId="33" xfId="69" applyNumberFormat="1" applyFont="1" applyFill="1" applyBorder="1" applyAlignment="1" applyProtection="1">
      <alignment/>
      <protection/>
    </xf>
    <xf numFmtId="172" fontId="87" fillId="0" borderId="0" xfId="0" applyNumberFormat="1" applyFont="1" applyFill="1" applyBorder="1" applyAlignment="1">
      <alignment/>
    </xf>
    <xf numFmtId="172" fontId="4" fillId="0" borderId="32" xfId="69" applyNumberFormat="1" applyFont="1" applyFill="1" applyBorder="1" applyAlignment="1">
      <alignment/>
    </xf>
    <xf numFmtId="2" fontId="87" fillId="0" borderId="32" xfId="69" applyNumberFormat="1" applyFont="1" applyFill="1" applyBorder="1" applyAlignment="1">
      <alignment/>
    </xf>
    <xf numFmtId="0" fontId="88" fillId="0" borderId="19" xfId="0" applyFont="1" applyFill="1" applyBorder="1" applyAlignment="1">
      <alignment wrapText="1"/>
    </xf>
    <xf numFmtId="172" fontId="87" fillId="0" borderId="19" xfId="69" applyNumberFormat="1" applyFont="1" applyFill="1" applyBorder="1" applyAlignment="1">
      <alignment/>
    </xf>
    <xf numFmtId="172" fontId="87" fillId="0" borderId="0" xfId="69" applyNumberFormat="1" applyFont="1" applyFill="1" applyBorder="1" applyAlignment="1">
      <alignment/>
    </xf>
    <xf numFmtId="172" fontId="93" fillId="0" borderId="23" xfId="69" applyNumberFormat="1" applyFont="1" applyFill="1" applyBorder="1" applyAlignment="1">
      <alignment/>
    </xf>
    <xf numFmtId="172" fontId="93" fillId="0" borderId="32" xfId="69" applyNumberFormat="1" applyFont="1" applyFill="1" applyBorder="1" applyAlignment="1">
      <alignment/>
    </xf>
    <xf numFmtId="172" fontId="93" fillId="0" borderId="33" xfId="69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2" fontId="4" fillId="0" borderId="33" xfId="69" applyNumberFormat="1" applyFont="1" applyFill="1" applyBorder="1" applyAlignment="1">
      <alignment/>
    </xf>
    <xf numFmtId="172" fontId="3" fillId="0" borderId="19" xfId="69" applyNumberFormat="1" applyFont="1" applyFill="1" applyBorder="1" applyAlignment="1">
      <alignment/>
    </xf>
    <xf numFmtId="172" fontId="4" fillId="0" borderId="19" xfId="69" applyNumberFormat="1" applyFont="1" applyFill="1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2" fontId="87" fillId="0" borderId="0" xfId="0" applyNumberFormat="1" applyFont="1" applyFill="1" applyBorder="1" applyAlignment="1">
      <alignment/>
    </xf>
    <xf numFmtId="172" fontId="93" fillId="0" borderId="25" xfId="69" applyNumberFormat="1" applyFont="1" applyFill="1" applyBorder="1" applyAlignment="1">
      <alignment/>
    </xf>
    <xf numFmtId="2" fontId="88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172" fontId="88" fillId="0" borderId="21" xfId="69" applyNumberFormat="1" applyFont="1" applyFill="1" applyBorder="1" applyAlignment="1">
      <alignment/>
    </xf>
    <xf numFmtId="0" fontId="88" fillId="0" borderId="21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88" fillId="0" borderId="19" xfId="0" applyFont="1" applyFill="1" applyBorder="1" applyAlignment="1">
      <alignment horizontal="center" vertical="center"/>
    </xf>
    <xf numFmtId="0" fontId="87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0" fontId="99" fillId="0" borderId="19" xfId="109" applyFont="1" applyBorder="1">
      <alignment/>
      <protection/>
    </xf>
    <xf numFmtId="0" fontId="99" fillId="0" borderId="19" xfId="109" applyFont="1" applyBorder="1" quotePrefix="1">
      <alignment/>
      <protection/>
    </xf>
    <xf numFmtId="0" fontId="97" fillId="0" borderId="19" xfId="109" applyFont="1" applyBorder="1" applyAlignment="1">
      <alignment horizontal="center" vertical="center"/>
      <protection/>
    </xf>
    <xf numFmtId="0" fontId="99" fillId="0" borderId="19" xfId="109" applyFont="1" applyBorder="1" applyAlignment="1">
      <alignment horizontal="center"/>
      <protection/>
    </xf>
    <xf numFmtId="0" fontId="85" fillId="0" borderId="21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175" fontId="11" fillId="0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175" fontId="12" fillId="0" borderId="19" xfId="0" applyNumberFormat="1" applyFont="1" applyFill="1" applyBorder="1" applyAlignment="1">
      <alignment horizontal="center" vertical="center" wrapText="1"/>
    </xf>
    <xf numFmtId="172" fontId="86" fillId="0" borderId="0" xfId="0" applyNumberFormat="1" applyFont="1" applyAlignment="1">
      <alignment/>
    </xf>
    <xf numFmtId="0" fontId="88" fillId="0" borderId="19" xfId="0" applyFont="1" applyBorder="1" applyAlignment="1">
      <alignment horizontal="center" vertical="center" wrapText="1"/>
    </xf>
    <xf numFmtId="0" fontId="88" fillId="0" borderId="19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172" fontId="86" fillId="0" borderId="23" xfId="69" applyNumberFormat="1" applyFont="1" applyFill="1" applyBorder="1" applyAlignment="1">
      <alignment horizontal="center"/>
    </xf>
    <xf numFmtId="172" fontId="86" fillId="0" borderId="22" xfId="69" applyNumberFormat="1" applyFont="1" applyFill="1" applyBorder="1" applyAlignment="1">
      <alignment horizontal="center"/>
    </xf>
    <xf numFmtId="172" fontId="86" fillId="0" borderId="24" xfId="69" applyNumberFormat="1" applyFont="1" applyFill="1" applyBorder="1" applyAlignment="1">
      <alignment horizontal="center"/>
    </xf>
    <xf numFmtId="172" fontId="85" fillId="0" borderId="19" xfId="69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86" fillId="0" borderId="33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86" fillId="0" borderId="19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86" fillId="0" borderId="2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6" fillId="0" borderId="19" xfId="0" applyFont="1" applyBorder="1" applyAlignment="1">
      <alignment horizontal="center"/>
    </xf>
    <xf numFmtId="0" fontId="86" fillId="0" borderId="19" xfId="0" applyFont="1" applyBorder="1" applyAlignment="1">
      <alignment/>
    </xf>
    <xf numFmtId="0" fontId="86" fillId="0" borderId="32" xfId="0" applyFont="1" applyFill="1" applyBorder="1" applyAlignment="1">
      <alignment horizontal="center"/>
    </xf>
    <xf numFmtId="172" fontId="86" fillId="0" borderId="33" xfId="69" applyNumberFormat="1" applyFont="1" applyFill="1" applyBorder="1" applyAlignment="1">
      <alignment horizontal="center"/>
    </xf>
    <xf numFmtId="172" fontId="86" fillId="0" borderId="32" xfId="69" applyNumberFormat="1" applyFont="1" applyFill="1" applyBorder="1" applyAlignment="1">
      <alignment horizontal="center"/>
    </xf>
    <xf numFmtId="172" fontId="86" fillId="0" borderId="19" xfId="69" applyNumberFormat="1" applyFont="1" applyFill="1" applyBorder="1" applyAlignment="1">
      <alignment/>
    </xf>
    <xf numFmtId="0" fontId="8" fillId="0" borderId="24" xfId="0" applyFont="1" applyFill="1" applyBorder="1" applyAlignment="1">
      <alignment vertical="center"/>
    </xf>
    <xf numFmtId="0" fontId="85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5" fillId="0" borderId="23" xfId="0" applyFont="1" applyFill="1" applyBorder="1" applyAlignment="1">
      <alignment horizontal="center" vertical="center"/>
    </xf>
    <xf numFmtId="0" fontId="86" fillId="0" borderId="36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7" fillId="0" borderId="32" xfId="0" applyFont="1" applyFill="1" applyBorder="1" applyAlignment="1">
      <alignment/>
    </xf>
    <xf numFmtId="0" fontId="8" fillId="0" borderId="24" xfId="0" applyFont="1" applyBorder="1" applyAlignment="1">
      <alignment vertical="center"/>
    </xf>
    <xf numFmtId="0" fontId="85" fillId="0" borderId="24" xfId="0" applyFont="1" applyBorder="1" applyAlignment="1">
      <alignment horizontal="center" vertical="center"/>
    </xf>
    <xf numFmtId="172" fontId="7" fillId="0" borderId="33" xfId="69" applyNumberFormat="1" applyFont="1" applyFill="1" applyBorder="1" applyAlignment="1">
      <alignment/>
    </xf>
    <xf numFmtId="172" fontId="7" fillId="0" borderId="23" xfId="69" applyNumberFormat="1" applyFont="1" applyFill="1" applyBorder="1" applyAlignment="1">
      <alignment/>
    </xf>
    <xf numFmtId="172" fontId="7" fillId="0" borderId="24" xfId="69" applyNumberFormat="1" applyFont="1" applyFill="1" applyBorder="1" applyAlignment="1">
      <alignment/>
    </xf>
    <xf numFmtId="172" fontId="85" fillId="0" borderId="19" xfId="69" applyNumberFormat="1" applyFont="1" applyFill="1" applyBorder="1" applyAlignment="1">
      <alignment horizontal="center" vertical="center"/>
    </xf>
    <xf numFmtId="172" fontId="7" fillId="0" borderId="32" xfId="69" applyNumberFormat="1" applyFont="1" applyFill="1" applyBorder="1" applyAlignment="1">
      <alignment/>
    </xf>
    <xf numFmtId="172" fontId="8" fillId="0" borderId="24" xfId="69" applyNumberFormat="1" applyFont="1" applyBorder="1" applyAlignment="1">
      <alignment vertical="center"/>
    </xf>
    <xf numFmtId="172" fontId="7" fillId="0" borderId="25" xfId="69" applyNumberFormat="1" applyFont="1" applyBorder="1" applyAlignment="1">
      <alignment/>
    </xf>
    <xf numFmtId="172" fontId="86" fillId="0" borderId="0" xfId="0" applyNumberFormat="1" applyFont="1" applyFill="1" applyAlignment="1">
      <alignment/>
    </xf>
    <xf numFmtId="43" fontId="7" fillId="0" borderId="32" xfId="69" applyFont="1" applyBorder="1" applyAlignment="1">
      <alignment/>
    </xf>
    <xf numFmtId="172" fontId="7" fillId="0" borderId="32" xfId="69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86" fillId="0" borderId="32" xfId="0" applyFont="1" applyBorder="1" applyAlignment="1">
      <alignment horizontal="center" vertical="center"/>
    </xf>
    <xf numFmtId="172" fontId="7" fillId="0" borderId="32" xfId="69" applyNumberFormat="1" applyFont="1" applyBorder="1" applyAlignment="1">
      <alignment vertical="center"/>
    </xf>
    <xf numFmtId="43" fontId="7" fillId="0" borderId="22" xfId="69" applyFont="1" applyFill="1" applyBorder="1" applyAlignment="1">
      <alignment/>
    </xf>
    <xf numFmtId="43" fontId="8" fillId="0" borderId="19" xfId="69" applyFont="1" applyBorder="1" applyAlignment="1">
      <alignment vertical="center"/>
    </xf>
    <xf numFmtId="172" fontId="7" fillId="0" borderId="22" xfId="69" applyNumberFormat="1" applyFont="1" applyFill="1" applyBorder="1" applyAlignment="1">
      <alignment/>
    </xf>
    <xf numFmtId="172" fontId="8" fillId="0" borderId="21" xfId="69" applyNumberFormat="1" applyFont="1" applyFill="1" applyBorder="1" applyAlignment="1">
      <alignment vertical="center"/>
    </xf>
    <xf numFmtId="172" fontId="8" fillId="0" borderId="19" xfId="69" applyNumberFormat="1" applyFont="1" applyFill="1" applyBorder="1" applyAlignment="1">
      <alignment vertical="center"/>
    </xf>
    <xf numFmtId="172" fontId="8" fillId="0" borderId="19" xfId="69" applyNumberFormat="1" applyFont="1" applyBorder="1" applyAlignment="1">
      <alignment vertical="center"/>
    </xf>
    <xf numFmtId="172" fontId="7" fillId="0" borderId="22" xfId="69" applyNumberFormat="1" applyFont="1" applyBorder="1" applyAlignment="1">
      <alignment/>
    </xf>
    <xf numFmtId="0" fontId="7" fillId="0" borderId="24" xfId="0" applyFont="1" applyBorder="1" applyAlignment="1">
      <alignment vertical="center"/>
    </xf>
    <xf numFmtId="172" fontId="7" fillId="0" borderId="24" xfId="69" applyNumberFormat="1" applyFont="1" applyBorder="1" applyAlignment="1">
      <alignment vertical="center"/>
    </xf>
    <xf numFmtId="172" fontId="7" fillId="0" borderId="19" xfId="69" applyNumberFormat="1" applyFont="1" applyFill="1" applyBorder="1" applyAlignment="1">
      <alignment/>
    </xf>
    <xf numFmtId="43" fontId="86" fillId="0" borderId="0" xfId="0" applyNumberFormat="1" applyFont="1" applyAlignment="1">
      <alignment/>
    </xf>
    <xf numFmtId="43" fontId="8" fillId="0" borderId="21" xfId="0" applyNumberFormat="1" applyFont="1" applyBorder="1" applyAlignment="1">
      <alignment horizontal="left" vertical="center"/>
    </xf>
    <xf numFmtId="172" fontId="87" fillId="50" borderId="23" xfId="69" applyNumberFormat="1" applyFont="1" applyFill="1" applyBorder="1" applyAlignment="1">
      <alignment/>
    </xf>
    <xf numFmtId="172" fontId="87" fillId="50" borderId="24" xfId="69" applyNumberFormat="1" applyFont="1" applyFill="1" applyBorder="1" applyAlignment="1">
      <alignment/>
    </xf>
    <xf numFmtId="172" fontId="86" fillId="0" borderId="0" xfId="0" applyNumberFormat="1" applyFont="1" applyAlignment="1">
      <alignment/>
    </xf>
    <xf numFmtId="0" fontId="88" fillId="0" borderId="19" xfId="0" applyFont="1" applyBorder="1" applyAlignment="1">
      <alignment vertical="center" wrapText="1"/>
    </xf>
    <xf numFmtId="0" fontId="85" fillId="0" borderId="19" xfId="0" applyFont="1" applyBorder="1" applyAlignment="1">
      <alignment horizontal="center"/>
    </xf>
    <xf numFmtId="43" fontId="7" fillId="0" borderId="22" xfId="0" applyNumberFormat="1" applyFont="1" applyFill="1" applyBorder="1" applyAlignment="1">
      <alignment/>
    </xf>
    <xf numFmtId="172" fontId="8" fillId="0" borderId="19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88" fillId="0" borderId="19" xfId="0" applyFont="1" applyBorder="1" applyAlignment="1">
      <alignment wrapText="1"/>
    </xf>
    <xf numFmtId="2" fontId="87" fillId="0" borderId="0" xfId="0" applyNumberFormat="1" applyFont="1" applyAlignment="1">
      <alignment/>
    </xf>
    <xf numFmtId="2" fontId="87" fillId="0" borderId="0" xfId="69" applyNumberFormat="1" applyFont="1" applyAlignment="1">
      <alignment/>
    </xf>
    <xf numFmtId="2" fontId="88" fillId="0" borderId="0" xfId="0" applyNumberFormat="1" applyFont="1" applyAlignment="1">
      <alignment/>
    </xf>
    <xf numFmtId="172" fontId="88" fillId="0" borderId="23" xfId="69" applyNumberFormat="1" applyFont="1" applyBorder="1" applyAlignment="1">
      <alignment/>
    </xf>
    <xf numFmtId="172" fontId="88" fillId="0" borderId="24" xfId="69" applyNumberFormat="1" applyFont="1" applyBorder="1" applyAlignment="1">
      <alignment/>
    </xf>
    <xf numFmtId="0" fontId="88" fillId="0" borderId="27" xfId="0" applyFont="1" applyBorder="1" applyAlignment="1">
      <alignment wrapText="1"/>
    </xf>
    <xf numFmtId="172" fontId="88" fillId="0" borderId="27" xfId="0" applyNumberFormat="1" applyFont="1" applyBorder="1" applyAlignment="1">
      <alignment/>
    </xf>
    <xf numFmtId="172" fontId="87" fillId="0" borderId="46" xfId="69" applyNumberFormat="1" applyFont="1" applyBorder="1" applyAlignment="1">
      <alignment/>
    </xf>
    <xf numFmtId="172" fontId="87" fillId="0" borderId="34" xfId="69" applyNumberFormat="1" applyFont="1" applyBorder="1" applyAlignment="1">
      <alignment/>
    </xf>
    <xf numFmtId="172" fontId="87" fillId="0" borderId="38" xfId="69" applyNumberFormat="1" applyFont="1" applyBorder="1" applyAlignment="1">
      <alignment/>
    </xf>
    <xf numFmtId="172" fontId="88" fillId="0" borderId="46" xfId="69" applyNumberFormat="1" applyFont="1" applyBorder="1" applyAlignment="1">
      <alignment/>
    </xf>
    <xf numFmtId="172" fontId="88" fillId="0" borderId="27" xfId="69" applyNumberFormat="1" applyFont="1" applyBorder="1" applyAlignment="1">
      <alignment/>
    </xf>
    <xf numFmtId="49" fontId="3" fillId="0" borderId="47" xfId="0" applyNumberFormat="1" applyFont="1" applyBorder="1" applyAlignment="1">
      <alignment horizontal="center" vertical="center"/>
    </xf>
    <xf numFmtId="172" fontId="88" fillId="0" borderId="48" xfId="0" applyNumberFormat="1" applyFont="1" applyBorder="1" applyAlignment="1">
      <alignment/>
    </xf>
    <xf numFmtId="172" fontId="87" fillId="0" borderId="49" xfId="69" applyNumberFormat="1" applyFont="1" applyBorder="1" applyAlignment="1">
      <alignment/>
    </xf>
    <xf numFmtId="172" fontId="87" fillId="0" borderId="50" xfId="69" applyNumberFormat="1" applyFont="1" applyBorder="1" applyAlignment="1">
      <alignment/>
    </xf>
    <xf numFmtId="172" fontId="87" fillId="0" borderId="51" xfId="69" applyNumberFormat="1" applyFont="1" applyBorder="1" applyAlignment="1">
      <alignment/>
    </xf>
    <xf numFmtId="172" fontId="88" fillId="0" borderId="49" xfId="69" applyNumberFormat="1" applyFont="1" applyBorder="1" applyAlignment="1">
      <alignment/>
    </xf>
    <xf numFmtId="172" fontId="88" fillId="0" borderId="48" xfId="69" applyNumberFormat="1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/>
    </xf>
    <xf numFmtId="0" fontId="83" fillId="0" borderId="0" xfId="0" applyFont="1" applyAlignment="1">
      <alignment/>
    </xf>
    <xf numFmtId="176" fontId="0" fillId="0" borderId="0" xfId="0" applyNumberFormat="1" applyAlignment="1">
      <alignment/>
    </xf>
    <xf numFmtId="0" fontId="83" fillId="0" borderId="19" xfId="0" applyFont="1" applyBorder="1" applyAlignment="1">
      <alignment horizontal="center"/>
    </xf>
    <xf numFmtId="0" fontId="83" fillId="0" borderId="19" xfId="0" applyFont="1" applyBorder="1" applyAlignment="1">
      <alignment/>
    </xf>
    <xf numFmtId="173" fontId="83" fillId="0" borderId="19" xfId="69" applyNumberFormat="1" applyFont="1" applyBorder="1" applyAlignment="1">
      <alignment/>
    </xf>
    <xf numFmtId="176" fontId="83" fillId="0" borderId="19" xfId="0" applyNumberFormat="1" applyFont="1" applyBorder="1" applyAlignment="1">
      <alignment/>
    </xf>
    <xf numFmtId="0" fontId="0" fillId="51" borderId="22" xfId="0" applyFill="1" applyBorder="1" applyAlignment="1">
      <alignment/>
    </xf>
    <xf numFmtId="173" fontId="0" fillId="51" borderId="22" xfId="69" applyNumberFormat="1" applyFont="1" applyFill="1" applyBorder="1" applyAlignment="1">
      <alignment/>
    </xf>
    <xf numFmtId="0" fontId="0" fillId="51" borderId="24" xfId="0" applyFill="1" applyBorder="1" applyAlignment="1">
      <alignment/>
    </xf>
    <xf numFmtId="173" fontId="0" fillId="51" borderId="24" xfId="69" applyNumberFormat="1" applyFont="1" applyFill="1" applyBorder="1" applyAlignment="1">
      <alignment/>
    </xf>
    <xf numFmtId="172" fontId="88" fillId="0" borderId="22" xfId="69" applyNumberFormat="1" applyFont="1" applyFill="1" applyBorder="1" applyAlignment="1">
      <alignment/>
    </xf>
    <xf numFmtId="172" fontId="88" fillId="0" borderId="23" xfId="69" applyNumberFormat="1" applyFont="1" applyFill="1" applyBorder="1" applyAlignment="1">
      <alignment/>
    </xf>
    <xf numFmtId="172" fontId="3" fillId="0" borderId="23" xfId="69" applyNumberFormat="1" applyFont="1" applyFill="1" applyBorder="1" applyAlignment="1">
      <alignment/>
    </xf>
    <xf numFmtId="172" fontId="88" fillId="0" borderId="24" xfId="69" applyNumberFormat="1" applyFont="1" applyFill="1" applyBorder="1" applyAlignment="1">
      <alignment/>
    </xf>
    <xf numFmtId="172" fontId="88" fillId="0" borderId="32" xfId="69" applyNumberFormat="1" applyFont="1" applyFill="1" applyBorder="1" applyAlignment="1">
      <alignment/>
    </xf>
    <xf numFmtId="49" fontId="3" fillId="0" borderId="26" xfId="69" applyNumberFormat="1" applyFont="1" applyBorder="1" applyAlignment="1">
      <alignment horizontal="center" vertical="center"/>
    </xf>
    <xf numFmtId="173" fontId="88" fillId="0" borderId="0" xfId="69" applyNumberFormat="1" applyFont="1" applyAlignment="1">
      <alignment/>
    </xf>
    <xf numFmtId="172" fontId="88" fillId="0" borderId="0" xfId="69" applyNumberFormat="1" applyFont="1" applyBorder="1" applyAlignment="1">
      <alignment/>
    </xf>
    <xf numFmtId="172" fontId="87" fillId="0" borderId="0" xfId="0" applyNumberFormat="1" applyFont="1" applyBorder="1" applyAlignment="1">
      <alignment/>
    </xf>
    <xf numFmtId="172" fontId="4" fillId="0" borderId="0" xfId="69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87" fillId="0" borderId="0" xfId="69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172" fontId="88" fillId="0" borderId="32" xfId="69" applyNumberFormat="1" applyFont="1" applyBorder="1" applyAlignment="1">
      <alignment/>
    </xf>
    <xf numFmtId="172" fontId="87" fillId="0" borderId="32" xfId="69" applyNumberFormat="1" applyFont="1" applyBorder="1" applyAlignment="1">
      <alignment/>
    </xf>
    <xf numFmtId="9" fontId="87" fillId="0" borderId="32" xfId="0" applyNumberFormat="1" applyFont="1" applyBorder="1" applyAlignment="1">
      <alignment/>
    </xf>
    <xf numFmtId="0" fontId="87" fillId="0" borderId="32" xfId="0" applyFont="1" applyBorder="1" applyAlignment="1">
      <alignment/>
    </xf>
    <xf numFmtId="174" fontId="88" fillId="0" borderId="19" xfId="0" applyNumberFormat="1" applyFont="1" applyBorder="1" applyAlignment="1">
      <alignment/>
    </xf>
    <xf numFmtId="0" fontId="88" fillId="0" borderId="19" xfId="0" applyFont="1" applyBorder="1" applyAlignment="1">
      <alignment/>
    </xf>
    <xf numFmtId="0" fontId="88" fillId="0" borderId="20" xfId="0" applyFont="1" applyBorder="1" applyAlignment="1">
      <alignment/>
    </xf>
    <xf numFmtId="0" fontId="0" fillId="51" borderId="23" xfId="0" applyFill="1" applyBorder="1" applyAlignment="1">
      <alignment/>
    </xf>
    <xf numFmtId="173" fontId="0" fillId="51" borderId="23" xfId="69" applyNumberFormat="1" applyFont="1" applyFill="1" applyBorder="1" applyAlignment="1">
      <alignment/>
    </xf>
    <xf numFmtId="0" fontId="0" fillId="51" borderId="32" xfId="0" applyFill="1" applyBorder="1" applyAlignment="1">
      <alignment/>
    </xf>
    <xf numFmtId="173" fontId="0" fillId="51" borderId="32" xfId="69" applyNumberFormat="1" applyFont="1" applyFill="1" applyBorder="1" applyAlignment="1">
      <alignment/>
    </xf>
    <xf numFmtId="172" fontId="0" fillId="51" borderId="22" xfId="69" applyNumberFormat="1" applyFont="1" applyFill="1" applyBorder="1" applyAlignment="1">
      <alignment/>
    </xf>
    <xf numFmtId="172" fontId="0" fillId="51" borderId="23" xfId="69" applyNumberFormat="1" applyFont="1" applyFill="1" applyBorder="1" applyAlignment="1">
      <alignment/>
    </xf>
    <xf numFmtId="172" fontId="0" fillId="51" borderId="32" xfId="69" applyNumberFormat="1" applyFont="1" applyFill="1" applyBorder="1" applyAlignment="1">
      <alignment/>
    </xf>
    <xf numFmtId="0" fontId="0" fillId="0" borderId="0" xfId="0" applyBorder="1" applyAlignment="1">
      <alignment/>
    </xf>
    <xf numFmtId="0" fontId="83" fillId="0" borderId="0" xfId="0" applyFont="1" applyBorder="1" applyAlignment="1">
      <alignment/>
    </xf>
    <xf numFmtId="172" fontId="85" fillId="0" borderId="19" xfId="69" applyNumberFormat="1" applyFont="1" applyBorder="1" applyAlignment="1">
      <alignment/>
    </xf>
    <xf numFmtId="172" fontId="89" fillId="0" borderId="19" xfId="69" applyNumberFormat="1" applyFont="1" applyBorder="1" applyAlignment="1">
      <alignment/>
    </xf>
    <xf numFmtId="0" fontId="86" fillId="0" borderId="22" xfId="0" applyFont="1" applyBorder="1" applyAlignment="1">
      <alignment horizontal="center"/>
    </xf>
    <xf numFmtId="0" fontId="86" fillId="0" borderId="22" xfId="0" applyFont="1" applyBorder="1" applyAlignment="1">
      <alignment horizontal="left" indent="1"/>
    </xf>
    <xf numFmtId="0" fontId="86" fillId="0" borderId="22" xfId="0" applyFont="1" applyBorder="1" applyAlignment="1">
      <alignment/>
    </xf>
    <xf numFmtId="0" fontId="86" fillId="0" borderId="23" xfId="0" applyFont="1" applyBorder="1" applyAlignment="1">
      <alignment horizontal="center"/>
    </xf>
    <xf numFmtId="0" fontId="86" fillId="0" borderId="23" xfId="0" applyFont="1" applyBorder="1" applyAlignment="1">
      <alignment horizontal="left" indent="1"/>
    </xf>
    <xf numFmtId="0" fontId="86" fillId="0" borderId="23" xfId="0" applyFont="1" applyBorder="1" applyAlignment="1">
      <alignment/>
    </xf>
    <xf numFmtId="0" fontId="86" fillId="0" borderId="24" xfId="0" applyFont="1" applyBorder="1" applyAlignment="1">
      <alignment horizontal="center"/>
    </xf>
    <xf numFmtId="0" fontId="86" fillId="0" borderId="24" xfId="0" applyFont="1" applyBorder="1" applyAlignment="1">
      <alignment horizontal="left" indent="1"/>
    </xf>
    <xf numFmtId="0" fontId="86" fillId="0" borderId="24" xfId="0" applyFont="1" applyBorder="1" applyAlignment="1">
      <alignment/>
    </xf>
    <xf numFmtId="0" fontId="89" fillId="0" borderId="22" xfId="0" applyFont="1" applyBorder="1" applyAlignment="1">
      <alignment horizontal="center"/>
    </xf>
    <xf numFmtId="0" fontId="89" fillId="0" borderId="22" xfId="0" applyFont="1" applyBorder="1" applyAlignment="1" quotePrefix="1">
      <alignment horizontal="left" indent="1"/>
    </xf>
    <xf numFmtId="0" fontId="89" fillId="0" borderId="22" xfId="0" applyFont="1" applyBorder="1" applyAlignment="1">
      <alignment/>
    </xf>
    <xf numFmtId="0" fontId="89" fillId="0" borderId="24" xfId="0" applyFont="1" applyBorder="1" applyAlignment="1">
      <alignment horizontal="center"/>
    </xf>
    <xf numFmtId="0" fontId="89" fillId="0" borderId="24" xfId="0" applyFont="1" applyBorder="1" applyAlignment="1" quotePrefix="1">
      <alignment horizontal="left" indent="1"/>
    </xf>
    <xf numFmtId="0" fontId="89" fillId="0" borderId="24" xfId="0" applyFont="1" applyBorder="1" applyAlignment="1">
      <alignment/>
    </xf>
    <xf numFmtId="172" fontId="85" fillId="0" borderId="19" xfId="69" applyNumberFormat="1" applyFont="1" applyBorder="1" applyAlignment="1">
      <alignment horizontal="right"/>
    </xf>
    <xf numFmtId="172" fontId="85" fillId="0" borderId="19" xfId="0" applyNumberFormat="1" applyFont="1" applyBorder="1" applyAlignment="1">
      <alignment horizontal="right"/>
    </xf>
    <xf numFmtId="172" fontId="86" fillId="0" borderId="22" xfId="69" applyNumberFormat="1" applyFont="1" applyBorder="1" applyAlignment="1">
      <alignment horizontal="right"/>
    </xf>
    <xf numFmtId="172" fontId="86" fillId="0" borderId="22" xfId="0" applyNumberFormat="1" applyFont="1" applyBorder="1" applyAlignment="1">
      <alignment horizontal="right"/>
    </xf>
    <xf numFmtId="172" fontId="86" fillId="0" borderId="23" xfId="69" applyNumberFormat="1" applyFont="1" applyBorder="1" applyAlignment="1">
      <alignment horizontal="right"/>
    </xf>
    <xf numFmtId="172" fontId="86" fillId="0" borderId="23" xfId="0" applyNumberFormat="1" applyFont="1" applyBorder="1" applyAlignment="1">
      <alignment horizontal="right"/>
    </xf>
    <xf numFmtId="172" fontId="86" fillId="0" borderId="24" xfId="69" applyNumberFormat="1" applyFont="1" applyBorder="1" applyAlignment="1">
      <alignment horizontal="right"/>
    </xf>
    <xf numFmtId="172" fontId="86" fillId="0" borderId="24" xfId="0" applyNumberFormat="1" applyFont="1" applyBorder="1" applyAlignment="1">
      <alignment horizontal="right"/>
    </xf>
    <xf numFmtId="172" fontId="86" fillId="0" borderId="19" xfId="69" applyNumberFormat="1" applyFont="1" applyBorder="1" applyAlignment="1">
      <alignment horizontal="right"/>
    </xf>
    <xf numFmtId="172" fontId="89" fillId="0" borderId="22" xfId="69" applyNumberFormat="1" applyFont="1" applyBorder="1" applyAlignment="1">
      <alignment horizontal="right"/>
    </xf>
    <xf numFmtId="172" fontId="89" fillId="0" borderId="24" xfId="69" applyNumberFormat="1" applyFont="1" applyBorder="1" applyAlignment="1">
      <alignment horizontal="right"/>
    </xf>
    <xf numFmtId="172" fontId="95" fillId="0" borderId="0" xfId="0" applyNumberFormat="1" applyFont="1" applyAlignment="1">
      <alignment/>
    </xf>
    <xf numFmtId="172" fontId="86" fillId="0" borderId="24" xfId="69" applyNumberFormat="1" applyFont="1" applyBorder="1" applyAlignment="1">
      <alignment horizontal="right" indent="1"/>
    </xf>
    <xf numFmtId="176" fontId="8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91" fillId="0" borderId="0" xfId="0" applyFont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83" fillId="51" borderId="19" xfId="0" applyFont="1" applyFill="1" applyBorder="1" applyAlignment="1">
      <alignment/>
    </xf>
    <xf numFmtId="10" fontId="83" fillId="0" borderId="19" xfId="0" applyNumberFormat="1" applyFont="1" applyBorder="1" applyAlignment="1">
      <alignment/>
    </xf>
    <xf numFmtId="43" fontId="86" fillId="0" borderId="0" xfId="0" applyNumberFormat="1" applyFont="1" applyAlignment="1">
      <alignment/>
    </xf>
    <xf numFmtId="43" fontId="87" fillId="0" borderId="0" xfId="69" applyFont="1" applyAlignment="1">
      <alignment/>
    </xf>
    <xf numFmtId="43" fontId="87" fillId="0" borderId="0" xfId="0" applyNumberFormat="1" applyFont="1" applyAlignment="1">
      <alignment/>
    </xf>
    <xf numFmtId="173" fontId="88" fillId="0" borderId="0" xfId="69" applyNumberFormat="1" applyFont="1" applyFill="1" applyBorder="1" applyAlignment="1">
      <alignment/>
    </xf>
    <xf numFmtId="0" fontId="90" fillId="0" borderId="19" xfId="0" applyFont="1" applyBorder="1" applyAlignment="1">
      <alignment/>
    </xf>
    <xf numFmtId="0" fontId="90" fillId="0" borderId="22" xfId="0" applyFont="1" applyBorder="1" applyAlignment="1">
      <alignment horizontal="left" vertical="center" wrapText="1"/>
    </xf>
    <xf numFmtId="0" fontId="90" fillId="0" borderId="23" xfId="0" applyFont="1" applyBorder="1" applyAlignment="1">
      <alignment horizontal="left" vertical="center" wrapText="1"/>
    </xf>
    <xf numFmtId="0" fontId="90" fillId="0" borderId="24" xfId="0" applyFont="1" applyBorder="1" applyAlignment="1">
      <alignment horizontal="left" vertical="center" wrapText="1"/>
    </xf>
    <xf numFmtId="0" fontId="90" fillId="0" borderId="19" xfId="0" applyFont="1" applyBorder="1" applyAlignment="1">
      <alignment horizontal="left"/>
    </xf>
    <xf numFmtId="0" fontId="90" fillId="0" borderId="23" xfId="0" applyFont="1" applyBorder="1" applyAlignment="1">
      <alignment horizontal="left" vertical="center"/>
    </xf>
    <xf numFmtId="0" fontId="90" fillId="0" borderId="32" xfId="0" applyFont="1" applyBorder="1" applyAlignment="1">
      <alignment horizontal="left" vertical="center" wrapText="1"/>
    </xf>
    <xf numFmtId="0" fontId="90" fillId="0" borderId="32" xfId="0" applyFont="1" applyBorder="1" applyAlignment="1">
      <alignment horizontal="left" vertical="center"/>
    </xf>
    <xf numFmtId="0" fontId="90" fillId="0" borderId="24" xfId="0" applyFont="1" applyBorder="1" applyAlignment="1">
      <alignment horizontal="left" vertical="center"/>
    </xf>
    <xf numFmtId="0" fontId="99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72" fontId="99" fillId="0" borderId="22" xfId="69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172" fontId="99" fillId="0" borderId="23" xfId="69" applyNumberFormat="1" applyFont="1" applyBorder="1" applyAlignment="1">
      <alignment/>
    </xf>
    <xf numFmtId="172" fontId="99" fillId="0" borderId="0" xfId="0" applyNumberFormat="1" applyFont="1" applyAlignment="1">
      <alignment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/>
    </xf>
    <xf numFmtId="172" fontId="99" fillId="0" borderId="24" xfId="69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172" fontId="97" fillId="0" borderId="19" xfId="69" applyNumberFormat="1" applyFont="1" applyBorder="1" applyAlignment="1">
      <alignment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172" fontId="97" fillId="0" borderId="26" xfId="69" applyNumberFormat="1" applyFont="1" applyBorder="1" applyAlignment="1">
      <alignment/>
    </xf>
    <xf numFmtId="172" fontId="97" fillId="0" borderId="22" xfId="69" applyNumberFormat="1" applyFont="1" applyBorder="1" applyAlignment="1">
      <alignment/>
    </xf>
    <xf numFmtId="172" fontId="97" fillId="0" borderId="19" xfId="69" applyNumberFormat="1" applyFont="1" applyBorder="1" applyAlignment="1">
      <alignment/>
    </xf>
    <xf numFmtId="0" fontId="97" fillId="0" borderId="19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72" fontId="99" fillId="0" borderId="19" xfId="69" applyNumberFormat="1" applyFont="1" applyBorder="1" applyAlignment="1">
      <alignment/>
    </xf>
    <xf numFmtId="0" fontId="97" fillId="0" borderId="19" xfId="0" applyFont="1" applyBorder="1" applyAlignment="1">
      <alignment vertical="center"/>
    </xf>
    <xf numFmtId="0" fontId="99" fillId="0" borderId="0" xfId="0" applyFont="1" applyBorder="1" applyAlignment="1">
      <alignment/>
    </xf>
    <xf numFmtId="0" fontId="99" fillId="0" borderId="25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172" fontId="99" fillId="0" borderId="26" xfId="69" applyNumberFormat="1" applyFont="1" applyBorder="1" applyAlignment="1">
      <alignment/>
    </xf>
    <xf numFmtId="0" fontId="97" fillId="0" borderId="19" xfId="0" applyFont="1" applyBorder="1" applyAlignment="1">
      <alignment horizontal="left" vertical="center" wrapText="1"/>
    </xf>
    <xf numFmtId="0" fontId="99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72" fontId="99" fillId="0" borderId="22" xfId="69" applyNumberFormat="1" applyFont="1" applyBorder="1" applyAlignment="1">
      <alignment vertical="center"/>
    </xf>
    <xf numFmtId="0" fontId="99" fillId="0" borderId="25" xfId="0" applyFont="1" applyBorder="1" applyAlignment="1">
      <alignment vertical="center" wrapText="1"/>
    </xf>
    <xf numFmtId="0" fontId="99" fillId="0" borderId="19" xfId="0" applyFont="1" applyBorder="1" applyAlignment="1">
      <alignment horizontal="left" vertical="center"/>
    </xf>
    <xf numFmtId="0" fontId="99" fillId="0" borderId="19" xfId="0" applyFont="1" applyBorder="1" applyAlignment="1">
      <alignment horizontal="left" wrapText="1"/>
    </xf>
    <xf numFmtId="172" fontId="97" fillId="0" borderId="21" xfId="69" applyNumberFormat="1" applyFont="1" applyBorder="1" applyAlignment="1">
      <alignment/>
    </xf>
    <xf numFmtId="0" fontId="97" fillId="0" borderId="19" xfId="0" applyFont="1" applyBorder="1" applyAlignment="1">
      <alignment/>
    </xf>
    <xf numFmtId="0" fontId="99" fillId="0" borderId="0" xfId="0" applyFont="1" applyAlignment="1">
      <alignment horizontal="right"/>
    </xf>
    <xf numFmtId="172" fontId="99" fillId="0" borderId="21" xfId="69" applyNumberFormat="1" applyFont="1" applyBorder="1" applyAlignment="1">
      <alignment vertical="center"/>
    </xf>
    <xf numFmtId="172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0" fontId="96" fillId="0" borderId="19" xfId="0" applyFont="1" applyBorder="1" applyAlignment="1">
      <alignment/>
    </xf>
    <xf numFmtId="173" fontId="96" fillId="0" borderId="19" xfId="69" applyNumberFormat="1" applyFont="1" applyBorder="1" applyAlignment="1">
      <alignment/>
    </xf>
    <xf numFmtId="176" fontId="96" fillId="0" borderId="19" xfId="0" applyNumberFormat="1" applyFont="1" applyBorder="1" applyAlignment="1">
      <alignment/>
    </xf>
    <xf numFmtId="176" fontId="96" fillId="0" borderId="0" xfId="0" applyNumberFormat="1" applyFont="1" applyAlignment="1">
      <alignment/>
    </xf>
    <xf numFmtId="0" fontId="96" fillId="0" borderId="0" xfId="0" applyFont="1" applyAlignment="1">
      <alignment/>
    </xf>
    <xf numFmtId="0" fontId="101" fillId="51" borderId="22" xfId="0" applyFont="1" applyFill="1" applyBorder="1" applyAlignment="1">
      <alignment/>
    </xf>
    <xf numFmtId="173" fontId="101" fillId="51" borderId="22" xfId="69" applyNumberFormat="1" applyFont="1" applyFill="1" applyBorder="1" applyAlignment="1">
      <alignment/>
    </xf>
    <xf numFmtId="176" fontId="101" fillId="0" borderId="0" xfId="0" applyNumberFormat="1" applyFont="1" applyAlignment="1">
      <alignment/>
    </xf>
    <xf numFmtId="0" fontId="101" fillId="51" borderId="24" xfId="0" applyFont="1" applyFill="1" applyBorder="1" applyAlignment="1">
      <alignment/>
    </xf>
    <xf numFmtId="173" fontId="101" fillId="51" borderId="24" xfId="69" applyNumberFormat="1" applyFont="1" applyFill="1" applyBorder="1" applyAlignment="1">
      <alignment/>
    </xf>
    <xf numFmtId="173" fontId="101" fillId="0" borderId="0" xfId="0" applyNumberFormat="1" applyFont="1" applyAlignment="1">
      <alignment/>
    </xf>
    <xf numFmtId="0" fontId="96" fillId="0" borderId="19" xfId="0" applyFont="1" applyBorder="1" applyAlignment="1">
      <alignment horizontal="center" wrapText="1"/>
    </xf>
    <xf numFmtId="172" fontId="101" fillId="0" borderId="0" xfId="69" applyNumberFormat="1" applyFont="1" applyAlignment="1">
      <alignment/>
    </xf>
    <xf numFmtId="0" fontId="85" fillId="0" borderId="19" xfId="0" applyFont="1" applyBorder="1" applyAlignment="1">
      <alignment horizontal="center"/>
    </xf>
    <xf numFmtId="43" fontId="101" fillId="0" borderId="0" xfId="69" applyFont="1" applyAlignment="1">
      <alignment/>
    </xf>
    <xf numFmtId="0" fontId="96" fillId="0" borderId="0" xfId="0" applyFont="1" applyBorder="1" applyAlignment="1">
      <alignment horizontal="center" wrapText="1"/>
    </xf>
    <xf numFmtId="0" fontId="96" fillId="0" borderId="0" xfId="0" applyFont="1" applyBorder="1" applyAlignment="1">
      <alignment/>
    </xf>
    <xf numFmtId="176" fontId="96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0" fontId="0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97" fillId="0" borderId="19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19" xfId="0" applyFont="1" applyBorder="1" applyAlignment="1">
      <alignment horizontal="center" vertical="top" wrapText="1"/>
    </xf>
    <xf numFmtId="0" fontId="99" fillId="0" borderId="19" xfId="0" applyFont="1" applyBorder="1" applyAlignment="1">
      <alignment horizontal="left" vertical="top" wrapText="1"/>
    </xf>
    <xf numFmtId="4" fontId="99" fillId="0" borderId="19" xfId="0" applyNumberFormat="1" applyFont="1" applyBorder="1" applyAlignment="1">
      <alignment horizontal="center" vertical="top" wrapText="1"/>
    </xf>
    <xf numFmtId="0" fontId="99" fillId="0" borderId="19" xfId="0" applyFont="1" applyBorder="1" applyAlignment="1">
      <alignment horizontal="right" vertical="top" wrapText="1"/>
    </xf>
    <xf numFmtId="0" fontId="99" fillId="0" borderId="0" xfId="0" applyFont="1" applyAlignment="1">
      <alignment vertical="top"/>
    </xf>
    <xf numFmtId="0" fontId="99" fillId="0" borderId="19" xfId="0" applyFont="1" applyBorder="1" applyAlignment="1">
      <alignment horizontal="center" vertical="top"/>
    </xf>
    <xf numFmtId="0" fontId="99" fillId="0" borderId="19" xfId="0" applyFont="1" applyBorder="1" applyAlignment="1">
      <alignment vertical="top"/>
    </xf>
    <xf numFmtId="0" fontId="97" fillId="0" borderId="0" xfId="0" applyFont="1" applyAlignment="1">
      <alignment horizontal="center" vertical="top"/>
    </xf>
    <xf numFmtId="0" fontId="0" fillId="0" borderId="0" xfId="0" applyAlignment="1">
      <alignment/>
    </xf>
    <xf numFmtId="0" fontId="96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0" fontId="96" fillId="0" borderId="19" xfId="0" applyFont="1" applyBorder="1" applyAlignment="1">
      <alignment horizontal="center"/>
    </xf>
    <xf numFmtId="0" fontId="101" fillId="0" borderId="19" xfId="0" applyFont="1" applyBorder="1" applyAlignment="1">
      <alignment horizontal="center"/>
    </xf>
    <xf numFmtId="0" fontId="101" fillId="0" borderId="19" xfId="0" applyFont="1" applyBorder="1" applyAlignment="1">
      <alignment horizontal="left"/>
    </xf>
    <xf numFmtId="0" fontId="101" fillId="0" borderId="19" xfId="0" applyFont="1" applyBorder="1" applyAlignment="1">
      <alignment/>
    </xf>
    <xf numFmtId="0" fontId="96" fillId="0" borderId="19" xfId="0" applyFont="1" applyBorder="1" applyAlignment="1">
      <alignment horizontal="left"/>
    </xf>
    <xf numFmtId="0" fontId="96" fillId="0" borderId="0" xfId="0" applyFont="1" applyAlignment="1">
      <alignment horizontal="center"/>
    </xf>
    <xf numFmtId="3" fontId="96" fillId="0" borderId="19" xfId="0" applyNumberFormat="1" applyFont="1" applyBorder="1" applyAlignment="1">
      <alignment horizontal="right" vertical="center" wrapText="1"/>
    </xf>
    <xf numFmtId="0" fontId="101" fillId="0" borderId="19" xfId="0" applyFont="1" applyBorder="1" applyAlignment="1">
      <alignment horizontal="center" wrapText="1"/>
    </xf>
    <xf numFmtId="0" fontId="101" fillId="0" borderId="19" xfId="0" applyFont="1" applyBorder="1" applyAlignment="1">
      <alignment wrapText="1"/>
    </xf>
    <xf numFmtId="3" fontId="101" fillId="0" borderId="19" xfId="0" applyNumberFormat="1" applyFont="1" applyBorder="1" applyAlignment="1">
      <alignment wrapText="1"/>
    </xf>
    <xf numFmtId="3" fontId="96" fillId="0" borderId="19" xfId="0" applyNumberFormat="1" applyFont="1" applyBorder="1" applyAlignment="1">
      <alignment wrapText="1"/>
    </xf>
    <xf numFmtId="3" fontId="97" fillId="0" borderId="19" xfId="0" applyNumberFormat="1" applyFont="1" applyBorder="1" applyAlignment="1">
      <alignment vertical="center"/>
    </xf>
    <xf numFmtId="3" fontId="99" fillId="0" borderId="19" xfId="69" applyNumberFormat="1" applyFont="1" applyBorder="1" applyAlignment="1">
      <alignment/>
    </xf>
    <xf numFmtId="3" fontId="97" fillId="0" borderId="19" xfId="69" applyNumberFormat="1" applyFont="1" applyBorder="1" applyAlignment="1">
      <alignment/>
    </xf>
    <xf numFmtId="3" fontId="101" fillId="0" borderId="19" xfId="0" applyNumberFormat="1" applyFont="1" applyBorder="1" applyAlignment="1">
      <alignment/>
    </xf>
    <xf numFmtId="3" fontId="96" fillId="0" borderId="19" xfId="0" applyNumberFormat="1" applyFont="1" applyBorder="1" applyAlignment="1">
      <alignment/>
    </xf>
    <xf numFmtId="0" fontId="101" fillId="0" borderId="19" xfId="0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49" fontId="97" fillId="0" borderId="19" xfId="0" applyNumberFormat="1" applyFont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/>
    </xf>
    <xf numFmtId="49" fontId="97" fillId="0" borderId="21" xfId="0" applyNumberFormat="1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172" fontId="99" fillId="0" borderId="19" xfId="69" applyNumberFormat="1" applyFont="1" applyFill="1" applyBorder="1" applyAlignment="1">
      <alignment/>
    </xf>
    <xf numFmtId="0" fontId="96" fillId="0" borderId="19" xfId="109" applyFont="1" applyFill="1" applyBorder="1" applyAlignment="1">
      <alignment horizontal="center" vertical="center" wrapText="1"/>
      <protection/>
    </xf>
    <xf numFmtId="0" fontId="96" fillId="0" borderId="19" xfId="109" applyFont="1" applyBorder="1" applyAlignment="1">
      <alignment horizontal="center" vertical="center" wrapText="1"/>
      <protection/>
    </xf>
    <xf numFmtId="0" fontId="96" fillId="0" borderId="19" xfId="109" applyFont="1" applyBorder="1" applyAlignment="1">
      <alignment horizontal="center" vertical="center"/>
      <protection/>
    </xf>
    <xf numFmtId="0" fontId="96" fillId="0" borderId="19" xfId="109" applyFont="1" applyFill="1" applyBorder="1" applyAlignment="1">
      <alignment horizontal="center" vertical="center"/>
      <protection/>
    </xf>
    <xf numFmtId="0" fontId="96" fillId="0" borderId="19" xfId="109" applyFont="1" applyBorder="1" applyAlignment="1">
      <alignment horizontal="right" vertical="center"/>
      <protection/>
    </xf>
    <xf numFmtId="0" fontId="96" fillId="0" borderId="19" xfId="109" applyFont="1" applyBorder="1" applyAlignment="1">
      <alignment horizontal="center"/>
      <protection/>
    </xf>
    <xf numFmtId="169" fontId="96" fillId="0" borderId="19" xfId="109" applyNumberFormat="1" applyFont="1" applyBorder="1" applyAlignment="1">
      <alignment/>
      <protection/>
    </xf>
    <xf numFmtId="169" fontId="96" fillId="0" borderId="19" xfId="109" applyNumberFormat="1" applyFont="1" applyFill="1" applyBorder="1">
      <alignment/>
      <protection/>
    </xf>
    <xf numFmtId="0" fontId="15" fillId="0" borderId="19" xfId="0" applyFont="1" applyFill="1" applyBorder="1" applyAlignment="1">
      <alignment horizontal="lef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37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/>
    </xf>
    <xf numFmtId="0" fontId="37" fillId="0" borderId="19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left"/>
    </xf>
    <xf numFmtId="3" fontId="37" fillId="0" borderId="19" xfId="69" applyNumberFormat="1" applyFont="1" applyFill="1" applyBorder="1" applyAlignment="1">
      <alignment/>
    </xf>
    <xf numFmtId="0" fontId="96" fillId="0" borderId="19" xfId="0" applyFont="1" applyBorder="1" applyAlignment="1">
      <alignment horizontal="left" vertical="top"/>
    </xf>
    <xf numFmtId="3" fontId="96" fillId="0" borderId="19" xfId="0" applyNumberFormat="1" applyFont="1" applyBorder="1" applyAlignment="1">
      <alignment horizontal="right" vertical="top"/>
    </xf>
    <xf numFmtId="3" fontId="101" fillId="0" borderId="19" xfId="0" applyNumberFormat="1" applyFont="1" applyBorder="1" applyAlignment="1">
      <alignment horizontal="right"/>
    </xf>
    <xf numFmtId="3" fontId="96" fillId="0" borderId="19" xfId="0" applyNumberFormat="1" applyFont="1" applyBorder="1" applyAlignment="1">
      <alignment horizontal="right"/>
    </xf>
    <xf numFmtId="3" fontId="96" fillId="0" borderId="19" xfId="0" applyNumberFormat="1" applyFont="1" applyFill="1" applyBorder="1" applyAlignment="1">
      <alignment horizontal="right"/>
    </xf>
    <xf numFmtId="0" fontId="103" fillId="0" borderId="19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justify" vertical="center" wrapText="1"/>
    </xf>
    <xf numFmtId="0" fontId="103" fillId="0" borderId="19" xfId="0" applyFont="1" applyBorder="1" applyAlignment="1">
      <alignment vertical="center" wrapText="1"/>
    </xf>
    <xf numFmtId="0" fontId="97" fillId="0" borderId="19" xfId="0" applyFont="1" applyBorder="1" applyAlignment="1">
      <alignment horizontal="center" wrapText="1"/>
    </xf>
    <xf numFmtId="0" fontId="99" fillId="0" borderId="19" xfId="0" applyFont="1" applyBorder="1" applyAlignment="1">
      <alignment horizontal="center" wrapText="1"/>
    </xf>
    <xf numFmtId="0" fontId="99" fillId="0" borderId="19" xfId="0" applyFont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87" fillId="0" borderId="30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8" fillId="0" borderId="28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 vertical="center"/>
    </xf>
    <xf numFmtId="0" fontId="88" fillId="0" borderId="25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8" fillId="0" borderId="27" xfId="0" applyFont="1" applyFill="1" applyBorder="1" applyAlignment="1">
      <alignment horizontal="center"/>
    </xf>
    <xf numFmtId="0" fontId="98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8" fillId="0" borderId="27" xfId="0" applyFont="1" applyFill="1" applyBorder="1" applyAlignment="1">
      <alignment horizontal="left"/>
    </xf>
    <xf numFmtId="0" fontId="88" fillId="0" borderId="30" xfId="0" applyFont="1" applyFill="1" applyBorder="1" applyAlignment="1">
      <alignment horizontal="left"/>
    </xf>
    <xf numFmtId="0" fontId="8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53" xfId="0" applyFont="1" applyBorder="1" applyAlignment="1">
      <alignment horizontal="center" vertical="center" wrapText="1"/>
    </xf>
    <xf numFmtId="172" fontId="3" fillId="0" borderId="21" xfId="69" applyNumberFormat="1" applyFont="1" applyBorder="1" applyAlignment="1">
      <alignment horizontal="center" vertical="center" wrapText="1"/>
    </xf>
    <xf numFmtId="172" fontId="3" fillId="0" borderId="26" xfId="69" applyNumberFormat="1" applyFont="1" applyBorder="1" applyAlignment="1">
      <alignment horizontal="center" vertical="center" wrapText="1"/>
    </xf>
    <xf numFmtId="173" fontId="3" fillId="0" borderId="27" xfId="69" applyNumberFormat="1" applyFont="1" applyBorder="1" applyAlignment="1">
      <alignment horizontal="center" vertical="center" wrapText="1"/>
    </xf>
    <xf numFmtId="173" fontId="3" fillId="0" borderId="20" xfId="69" applyNumberFormat="1" applyFont="1" applyBorder="1" applyAlignment="1">
      <alignment horizontal="center" vertical="center" wrapText="1"/>
    </xf>
    <xf numFmtId="173" fontId="3" fillId="0" borderId="19" xfId="69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27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 wrapText="1"/>
    </xf>
    <xf numFmtId="173" fontId="3" fillId="0" borderId="54" xfId="69" applyNumberFormat="1" applyFont="1" applyBorder="1" applyAlignment="1">
      <alignment horizontal="center" vertical="center" wrapText="1"/>
    </xf>
    <xf numFmtId="173" fontId="3" fillId="0" borderId="45" xfId="69" applyNumberFormat="1" applyFont="1" applyBorder="1" applyAlignment="1">
      <alignment horizontal="center" vertical="center" wrapText="1"/>
    </xf>
    <xf numFmtId="172" fontId="3" fillId="0" borderId="25" xfId="69" applyNumberFormat="1" applyFont="1" applyBorder="1" applyAlignment="1">
      <alignment horizontal="center" vertical="center" wrapText="1"/>
    </xf>
    <xf numFmtId="173" fontId="3" fillId="0" borderId="25" xfId="69" applyNumberFormat="1" applyFont="1" applyBorder="1" applyAlignment="1">
      <alignment horizontal="center" vertical="center" wrapText="1"/>
    </xf>
    <xf numFmtId="173" fontId="3" fillId="0" borderId="26" xfId="69" applyNumberFormat="1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88" fillId="0" borderId="54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7" fillId="0" borderId="0" xfId="109" applyFont="1" applyAlignment="1">
      <alignment horizontal="center"/>
      <protection/>
    </xf>
    <xf numFmtId="0" fontId="85" fillId="0" borderId="21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wrapText="1"/>
    </xf>
    <xf numFmtId="0" fontId="85" fillId="0" borderId="27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19" xfId="0" applyFont="1" applyFill="1" applyBorder="1" applyAlignment="1">
      <alignment horizontal="center" wrapText="1"/>
    </xf>
    <xf numFmtId="0" fontId="105" fillId="0" borderId="19" xfId="0" applyFont="1" applyFill="1" applyBorder="1" applyAlignment="1">
      <alignment horizontal="center" wrapText="1"/>
    </xf>
    <xf numFmtId="0" fontId="85" fillId="0" borderId="27" xfId="0" applyFont="1" applyFill="1" applyBorder="1" applyAlignment="1">
      <alignment horizontal="center" wrapText="1"/>
    </xf>
    <xf numFmtId="0" fontId="85" fillId="0" borderId="30" xfId="0" applyFont="1" applyFill="1" applyBorder="1" applyAlignment="1">
      <alignment horizontal="center" wrapText="1"/>
    </xf>
    <xf numFmtId="0" fontId="85" fillId="0" borderId="20" xfId="0" applyFont="1" applyFill="1" applyBorder="1" applyAlignment="1">
      <alignment horizontal="center" wrapText="1"/>
    </xf>
    <xf numFmtId="0" fontId="87" fillId="0" borderId="28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/>
    </xf>
    <xf numFmtId="0" fontId="85" fillId="0" borderId="19" xfId="0" applyFont="1" applyBorder="1" applyAlignment="1">
      <alignment horizontal="center" wrapText="1"/>
    </xf>
    <xf numFmtId="0" fontId="85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1" fillId="0" borderId="27" xfId="0" applyFont="1" applyBorder="1" applyAlignment="1">
      <alignment horizontal="center"/>
    </xf>
    <xf numFmtId="0" fontId="91" fillId="0" borderId="20" xfId="0" applyFont="1" applyBorder="1" applyAlignment="1">
      <alignment horizontal="center"/>
    </xf>
    <xf numFmtId="0" fontId="91" fillId="0" borderId="0" xfId="0" applyFont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96" fillId="0" borderId="19" xfId="0" applyFont="1" applyBorder="1" applyAlignment="1">
      <alignment horizontal="center" vertical="center" wrapText="1"/>
    </xf>
    <xf numFmtId="0" fontId="96" fillId="0" borderId="27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7" fillId="0" borderId="21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85" fillId="0" borderId="54" xfId="0" applyFont="1" applyBorder="1" applyAlignment="1">
      <alignment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/>
    </xf>
    <xf numFmtId="0" fontId="85" fillId="0" borderId="19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97" fillId="0" borderId="0" xfId="0" applyFont="1" applyAlignment="1">
      <alignment horizontal="center" vertical="center" wrapText="1"/>
    </xf>
    <xf numFmtId="0" fontId="97" fillId="0" borderId="31" xfId="0" applyFont="1" applyBorder="1" applyAlignment="1">
      <alignment horizontal="center"/>
    </xf>
    <xf numFmtId="0" fontId="96" fillId="0" borderId="27" xfId="0" applyFont="1" applyBorder="1" applyAlignment="1">
      <alignment horizontal="left"/>
    </xf>
    <xf numFmtId="0" fontId="96" fillId="0" borderId="30" xfId="0" applyFont="1" applyBorder="1" applyAlignment="1">
      <alignment horizontal="left"/>
    </xf>
    <xf numFmtId="0" fontId="96" fillId="0" borderId="20" xfId="0" applyFont="1" applyBorder="1" applyAlignment="1">
      <alignment horizontal="left"/>
    </xf>
    <xf numFmtId="0" fontId="96" fillId="0" borderId="21" xfId="0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7" fillId="0" borderId="21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6" fillId="0" borderId="21" xfId="109" applyFont="1" applyBorder="1" applyAlignment="1">
      <alignment horizontal="center" vertical="center"/>
      <protection/>
    </xf>
    <xf numFmtId="0" fontId="96" fillId="0" borderId="26" xfId="109" applyFont="1" applyBorder="1" applyAlignment="1">
      <alignment horizontal="center" vertical="center"/>
      <protection/>
    </xf>
    <xf numFmtId="0" fontId="96" fillId="0" borderId="27" xfId="109" applyFont="1" applyBorder="1" applyAlignment="1">
      <alignment horizontal="center" vertical="center"/>
      <protection/>
    </xf>
    <xf numFmtId="0" fontId="96" fillId="0" borderId="30" xfId="109" applyFont="1" applyBorder="1" applyAlignment="1">
      <alignment horizontal="center" vertical="center"/>
      <protection/>
    </xf>
    <xf numFmtId="0" fontId="96" fillId="0" borderId="20" xfId="109" applyFont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6" fillId="0" borderId="0" xfId="0" applyFont="1" applyAlignment="1">
      <alignment horizontal="center" wrapText="1"/>
    </xf>
    <xf numFmtId="0" fontId="15" fillId="0" borderId="19" xfId="0" applyFont="1" applyFill="1" applyBorder="1" applyAlignment="1">
      <alignment horizontal="center" vertical="center"/>
    </xf>
    <xf numFmtId="0" fontId="106" fillId="0" borderId="28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106" fillId="0" borderId="28" xfId="0" applyFont="1" applyBorder="1" applyAlignment="1">
      <alignment horizontal="center" wrapText="1"/>
    </xf>
    <xf numFmtId="0" fontId="106" fillId="0" borderId="28" xfId="0" applyFont="1" applyBorder="1" applyAlignment="1">
      <alignment horizontal="center"/>
    </xf>
    <xf numFmtId="0" fontId="99" fillId="0" borderId="19" xfId="0" applyFont="1" applyBorder="1" applyAlignment="1">
      <alignment horizontal="center" vertical="top" wrapText="1"/>
    </xf>
    <xf numFmtId="0" fontId="107" fillId="0" borderId="28" xfId="0" applyFont="1" applyBorder="1" applyAlignment="1">
      <alignment horizontal="center" vertical="top" wrapText="1"/>
    </xf>
    <xf numFmtId="0" fontId="99" fillId="0" borderId="0" xfId="0" applyFont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</cellXfs>
  <cellStyles count="13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5 2" xfId="75"/>
    <cellStyle name="Comma 6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edger 17 x 11 in" xfId="95"/>
    <cellStyle name="Linked Cell" xfId="96"/>
    <cellStyle name="Linked Cell 2" xfId="97"/>
    <cellStyle name="Neutral" xfId="98"/>
    <cellStyle name="Neutral 2" xfId="99"/>
    <cellStyle name="Normal 10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 2" xfId="110"/>
    <cellStyle name="Normal 2 2 2" xfId="111"/>
    <cellStyle name="Normal 2 3" xfId="112"/>
    <cellStyle name="Normal 2_Báo cáo tài chính BĐH- lần 1" xfId="113"/>
    <cellStyle name="Normal 20" xfId="114"/>
    <cellStyle name="Normal 21" xfId="115"/>
    <cellStyle name="Normal 22" xfId="116"/>
    <cellStyle name="Normal 23" xfId="117"/>
    <cellStyle name="Normal 24" xfId="118"/>
    <cellStyle name="Normal 3" xfId="119"/>
    <cellStyle name="Normal 3 2" xfId="120"/>
    <cellStyle name="Normal 4" xfId="121"/>
    <cellStyle name="Normal 4 2" xfId="122"/>
    <cellStyle name="Normal 5" xfId="123"/>
    <cellStyle name="Normal 5 2" xfId="124"/>
    <cellStyle name="Normal 6" xfId="125"/>
    <cellStyle name="Normal 6 2" xfId="126"/>
    <cellStyle name="Normal 7" xfId="127"/>
    <cellStyle name="Normal 8" xfId="128"/>
    <cellStyle name="Normal 8 2" xfId="129"/>
    <cellStyle name="Normal 9" xfId="130"/>
    <cellStyle name="Note" xfId="131"/>
    <cellStyle name="Note 2" xfId="132"/>
    <cellStyle name="Output" xfId="133"/>
    <cellStyle name="Output 2" xfId="134"/>
    <cellStyle name="Percent" xfId="135"/>
    <cellStyle name="Percent 2" xfId="136"/>
    <cellStyle name="Percent 3" xfId="137"/>
    <cellStyle name="Percent 4" xfId="138"/>
    <cellStyle name="Title" xfId="139"/>
    <cellStyle name="Title 2" xfId="140"/>
    <cellStyle name="Total" xfId="141"/>
    <cellStyle name="Total 2" xfId="142"/>
    <cellStyle name="Warning Text" xfId="143"/>
    <cellStyle name="Warning Text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14.140625" style="0" customWidth="1"/>
    <col min="4" max="4" width="15.421875" style="0" customWidth="1"/>
    <col min="5" max="5" width="16.421875" style="0" customWidth="1"/>
    <col min="6" max="6" width="16.00390625" style="0" customWidth="1"/>
    <col min="7" max="7" width="13.8515625" style="0" customWidth="1"/>
    <col min="8" max="8" width="15.28125" style="0" customWidth="1"/>
    <col min="9" max="10" width="12.140625" style="0" bestFit="1" customWidth="1"/>
  </cols>
  <sheetData>
    <row r="3" spans="1:8" ht="15">
      <c r="A3" s="587" t="s">
        <v>0</v>
      </c>
      <c r="B3" s="587" t="s">
        <v>419</v>
      </c>
      <c r="C3" s="587" t="s">
        <v>24</v>
      </c>
      <c r="D3" s="587">
        <v>2011</v>
      </c>
      <c r="E3" s="587">
        <v>2012</v>
      </c>
      <c r="F3" s="587">
        <v>2013</v>
      </c>
      <c r="G3" s="587" t="s">
        <v>499</v>
      </c>
      <c r="H3" s="587" t="s">
        <v>400</v>
      </c>
    </row>
    <row r="4" spans="1:9" s="585" customFormat="1" ht="17.25" customHeight="1">
      <c r="A4" s="588">
        <v>1</v>
      </c>
      <c r="B4" s="588" t="s">
        <v>467</v>
      </c>
      <c r="C4" s="588" t="s">
        <v>468</v>
      </c>
      <c r="D4" s="589">
        <f>D5+D6</f>
        <v>282928.5</v>
      </c>
      <c r="E4" s="589">
        <f>E5+E6</f>
        <v>1183915.1</v>
      </c>
      <c r="F4" s="589">
        <f>F5+F6</f>
        <v>1096389.4</v>
      </c>
      <c r="G4" s="589">
        <f>G5+G6</f>
        <v>766105.7339999999</v>
      </c>
      <c r="H4" s="590">
        <f aca="true" t="shared" si="0" ref="H4:H13">D4+E4+F4+G4</f>
        <v>3329338.734</v>
      </c>
      <c r="I4" s="655"/>
    </row>
    <row r="5" spans="1:10" ht="15">
      <c r="A5" s="591"/>
      <c r="B5" s="591" t="s">
        <v>469</v>
      </c>
      <c r="C5" s="591" t="s">
        <v>468</v>
      </c>
      <c r="D5" s="592">
        <f aca="true" t="shared" si="1" ref="D5:F6">D8+D11+D14</f>
        <v>231749.9</v>
      </c>
      <c r="E5" s="592">
        <f t="shared" si="1"/>
        <v>981398.7000000001</v>
      </c>
      <c r="F5" s="592">
        <f t="shared" si="1"/>
        <v>850272.6</v>
      </c>
      <c r="G5" s="592">
        <f>G8+G11</f>
        <v>624008</v>
      </c>
      <c r="H5" s="592">
        <f t="shared" si="0"/>
        <v>2687429.2</v>
      </c>
      <c r="J5" s="586"/>
    </row>
    <row r="6" spans="1:9" ht="15">
      <c r="A6" s="593"/>
      <c r="B6" s="593" t="s">
        <v>52</v>
      </c>
      <c r="C6" s="593" t="s">
        <v>468</v>
      </c>
      <c r="D6" s="594">
        <f t="shared" si="1"/>
        <v>51178.600000000006</v>
      </c>
      <c r="E6" s="594">
        <f t="shared" si="1"/>
        <v>202516.39999999997</v>
      </c>
      <c r="F6" s="594">
        <f t="shared" si="1"/>
        <v>246116.8</v>
      </c>
      <c r="G6" s="594">
        <f>G9+G12+G15</f>
        <v>142097.734</v>
      </c>
      <c r="H6" s="594">
        <f t="shared" si="0"/>
        <v>641909.534</v>
      </c>
      <c r="I6" s="586"/>
    </row>
    <row r="7" spans="1:9" s="585" customFormat="1" ht="15">
      <c r="A7" s="588">
        <v>2</v>
      </c>
      <c r="B7" s="588" t="s">
        <v>470</v>
      </c>
      <c r="C7" s="588" t="s">
        <v>468</v>
      </c>
      <c r="D7" s="589">
        <f>D8+D9</f>
        <v>267756.7</v>
      </c>
      <c r="E7" s="589">
        <f>E8+E9</f>
        <v>1165348.7</v>
      </c>
      <c r="F7" s="589">
        <f>F8+F9</f>
        <v>1071544.2</v>
      </c>
      <c r="G7" s="589">
        <f>G8+G9</f>
        <v>748411.353</v>
      </c>
      <c r="H7" s="590">
        <f t="shared" si="0"/>
        <v>3253060.9529999997</v>
      </c>
      <c r="I7" s="655"/>
    </row>
    <row r="8" spans="1:8" ht="15">
      <c r="A8" s="591"/>
      <c r="B8" s="591" t="s">
        <v>469</v>
      </c>
      <c r="C8" s="591" t="s">
        <v>468</v>
      </c>
      <c r="D8" s="592">
        <v>218191.9</v>
      </c>
      <c r="E8" s="592">
        <v>966220.9</v>
      </c>
      <c r="F8" s="592">
        <v>834465.9</v>
      </c>
      <c r="G8" s="592">
        <v>610636</v>
      </c>
      <c r="H8" s="592">
        <f t="shared" si="0"/>
        <v>2629514.7</v>
      </c>
    </row>
    <row r="9" spans="1:8" ht="15">
      <c r="A9" s="593"/>
      <c r="B9" s="593" t="s">
        <v>52</v>
      </c>
      <c r="C9" s="593" t="s">
        <v>468</v>
      </c>
      <c r="D9" s="594">
        <v>49564.8</v>
      </c>
      <c r="E9" s="594">
        <v>199127.8</v>
      </c>
      <c r="F9" s="594">
        <v>237078.3</v>
      </c>
      <c r="G9" s="594">
        <f>'Bieu 08'!J42/1000</f>
        <v>137775.353</v>
      </c>
      <c r="H9" s="594">
        <f t="shared" si="0"/>
        <v>623546.253</v>
      </c>
    </row>
    <row r="10" spans="1:9" s="585" customFormat="1" ht="15">
      <c r="A10" s="588">
        <v>3</v>
      </c>
      <c r="B10" s="588" t="s">
        <v>471</v>
      </c>
      <c r="C10" s="588" t="s">
        <v>468</v>
      </c>
      <c r="D10" s="589">
        <f>D11+D12</f>
        <v>14504.8</v>
      </c>
      <c r="E10" s="589">
        <f>E11+E12</f>
        <v>17694.1</v>
      </c>
      <c r="F10" s="589">
        <f>F11+F12</f>
        <v>23609.7</v>
      </c>
      <c r="G10" s="589">
        <f>G11+G12</f>
        <v>17073.576</v>
      </c>
      <c r="H10" s="590">
        <f t="shared" si="0"/>
        <v>72882.176</v>
      </c>
      <c r="I10" s="655"/>
    </row>
    <row r="11" spans="1:8" ht="15">
      <c r="A11" s="591"/>
      <c r="B11" s="591" t="s">
        <v>469</v>
      </c>
      <c r="C11" s="591" t="s">
        <v>468</v>
      </c>
      <c r="D11" s="592">
        <v>13558</v>
      </c>
      <c r="E11" s="592">
        <v>15177.8</v>
      </c>
      <c r="F11" s="592">
        <v>15806.7</v>
      </c>
      <c r="G11" s="592">
        <v>13372</v>
      </c>
      <c r="H11" s="592">
        <f t="shared" si="0"/>
        <v>57914.5</v>
      </c>
    </row>
    <row r="12" spans="1:8" ht="15">
      <c r="A12" s="593"/>
      <c r="B12" s="593" t="s">
        <v>52</v>
      </c>
      <c r="C12" s="593" t="s">
        <v>468</v>
      </c>
      <c r="D12" s="594">
        <v>946.8</v>
      </c>
      <c r="E12" s="594">
        <v>2516.3</v>
      </c>
      <c r="F12" s="594">
        <v>7803</v>
      </c>
      <c r="G12" s="594">
        <f>'Bieu 08'!K42/1000</f>
        <v>3701.576</v>
      </c>
      <c r="H12" s="594">
        <f t="shared" si="0"/>
        <v>14967.676</v>
      </c>
    </row>
    <row r="13" spans="1:9" s="585" customFormat="1" ht="15">
      <c r="A13" s="588">
        <v>4</v>
      </c>
      <c r="B13" s="588" t="s">
        <v>472</v>
      </c>
      <c r="C13" s="588" t="s">
        <v>468</v>
      </c>
      <c r="D13" s="589">
        <f>D14+D15</f>
        <v>667</v>
      </c>
      <c r="E13" s="589">
        <f>E14+E15</f>
        <v>872.3</v>
      </c>
      <c r="F13" s="589">
        <f>F14+F15</f>
        <v>1235.5</v>
      </c>
      <c r="G13" s="589">
        <f>G14+G15</f>
        <v>620.805</v>
      </c>
      <c r="H13" s="590">
        <f t="shared" si="0"/>
        <v>3395.605</v>
      </c>
      <c r="I13" s="655"/>
    </row>
    <row r="14" spans="1:8" ht="15">
      <c r="A14" s="591"/>
      <c r="B14" s="591" t="s">
        <v>469</v>
      </c>
      <c r="C14" s="591" t="s">
        <v>468</v>
      </c>
      <c r="D14" s="592">
        <v>0</v>
      </c>
      <c r="E14" s="592">
        <v>0</v>
      </c>
      <c r="F14" s="592">
        <v>0</v>
      </c>
      <c r="G14" s="592"/>
      <c r="H14" s="592">
        <f>D14+E14+F14+G14</f>
        <v>0</v>
      </c>
    </row>
    <row r="15" spans="1:8" ht="15">
      <c r="A15" s="593"/>
      <c r="B15" s="593" t="s">
        <v>52</v>
      </c>
      <c r="C15" s="593" t="s">
        <v>468</v>
      </c>
      <c r="D15" s="594">
        <v>667</v>
      </c>
      <c r="E15" s="594">
        <v>872.3</v>
      </c>
      <c r="F15" s="594">
        <v>1235.5</v>
      </c>
      <c r="G15" s="594">
        <f>'Bieu 08'!L42/1000</f>
        <v>620.805</v>
      </c>
      <c r="H15" s="594">
        <f>D15+E15+F15+G15</f>
        <v>3395.605</v>
      </c>
    </row>
    <row r="16" spans="4:8" ht="15">
      <c r="D16" s="656"/>
      <c r="E16" s="656"/>
      <c r="F16" s="656"/>
      <c r="G16" s="656"/>
      <c r="H16" s="656"/>
    </row>
    <row r="20" ht="15">
      <c r="E20" s="58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47"/>
  <sheetViews>
    <sheetView zoomScale="115" zoomScaleNormal="115" zoomScalePageLayoutView="0" workbookViewId="0" topLeftCell="A1">
      <pane xSplit="2" ySplit="7" topLeftCell="C32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M44" sqref="M44"/>
    </sheetView>
  </sheetViews>
  <sheetFormatPr defaultColWidth="9.140625" defaultRowHeight="35.25" customHeight="1"/>
  <cols>
    <col min="1" max="1" width="6.00390625" style="14" customWidth="1"/>
    <col min="2" max="2" width="12.28125" style="14" customWidth="1"/>
    <col min="3" max="3" width="10.28125" style="17" customWidth="1"/>
    <col min="4" max="4" width="9.00390625" style="14" customWidth="1"/>
    <col min="5" max="6" width="8.57421875" style="14" customWidth="1"/>
    <col min="7" max="7" width="9.28125" style="14" customWidth="1"/>
    <col min="8" max="8" width="8.7109375" style="14" customWidth="1"/>
    <col min="9" max="9" width="9.7109375" style="17" customWidth="1"/>
    <col min="10" max="10" width="9.00390625" style="14" customWidth="1"/>
    <col min="11" max="11" width="8.421875" style="14" customWidth="1"/>
    <col min="12" max="12" width="8.28125" style="14" customWidth="1"/>
    <col min="13" max="13" width="9.7109375" style="14" customWidth="1"/>
    <col min="14" max="14" width="8.00390625" style="14" customWidth="1"/>
    <col min="15" max="15" width="9.57421875" style="601" customWidth="1"/>
    <col min="16" max="17" width="8.7109375" style="14" customWidth="1"/>
    <col min="18" max="18" width="9.00390625" style="14" customWidth="1"/>
    <col min="19" max="20" width="9.140625" style="14" customWidth="1"/>
    <col min="21" max="21" width="8.00390625" style="14" customWidth="1"/>
    <col min="22" max="23" width="8.00390625" style="86" customWidth="1"/>
    <col min="24" max="24" width="12.57421875" style="86" customWidth="1"/>
    <col min="25" max="25" width="13.140625" style="86" customWidth="1"/>
    <col min="26" max="66" width="9.140625" style="86" customWidth="1"/>
    <col min="67" max="16384" width="9.140625" style="14" customWidth="1"/>
  </cols>
  <sheetData>
    <row r="1" spans="1:66" s="17" customFormat="1" ht="15.75" customHeight="1">
      <c r="A1" s="875" t="s">
        <v>0</v>
      </c>
      <c r="B1" s="875" t="s">
        <v>131</v>
      </c>
      <c r="C1" s="872" t="s">
        <v>477</v>
      </c>
      <c r="D1" s="873"/>
      <c r="E1" s="873"/>
      <c r="F1" s="873"/>
      <c r="G1" s="873"/>
      <c r="H1" s="873"/>
      <c r="I1" s="871" t="s">
        <v>128</v>
      </c>
      <c r="J1" s="871"/>
      <c r="K1" s="871"/>
      <c r="L1" s="871"/>
      <c r="M1" s="871"/>
      <c r="N1" s="871"/>
      <c r="O1" s="869" t="s">
        <v>163</v>
      </c>
      <c r="P1" s="869"/>
      <c r="Q1" s="869"/>
      <c r="R1" s="869"/>
      <c r="S1" s="869"/>
      <c r="T1" s="870"/>
      <c r="U1" s="862" t="s">
        <v>166</v>
      </c>
      <c r="V1" s="85"/>
      <c r="W1" s="85"/>
      <c r="X1" s="85"/>
      <c r="Y1" s="86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</row>
    <row r="2" spans="1:66" s="17" customFormat="1" ht="13.5" customHeight="1">
      <c r="A2" s="876"/>
      <c r="B2" s="876"/>
      <c r="C2" s="851" t="s">
        <v>121</v>
      </c>
      <c r="D2" s="868" t="s">
        <v>95</v>
      </c>
      <c r="E2" s="869"/>
      <c r="F2" s="869"/>
      <c r="G2" s="869"/>
      <c r="H2" s="870"/>
      <c r="I2" s="851" t="s">
        <v>164</v>
      </c>
      <c r="J2" s="851" t="s">
        <v>129</v>
      </c>
      <c r="K2" s="851" t="s">
        <v>475</v>
      </c>
      <c r="L2" s="851" t="s">
        <v>130</v>
      </c>
      <c r="M2" s="871" t="s">
        <v>122</v>
      </c>
      <c r="N2" s="871"/>
      <c r="O2" s="878" t="s">
        <v>143</v>
      </c>
      <c r="P2" s="884" t="s">
        <v>479</v>
      </c>
      <c r="Q2" s="884"/>
      <c r="R2" s="884"/>
      <c r="S2" s="884"/>
      <c r="T2" s="878" t="s">
        <v>155</v>
      </c>
      <c r="U2" s="863"/>
      <c r="V2" s="85"/>
      <c r="W2" s="85"/>
      <c r="X2" s="85"/>
      <c r="Y2" s="86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17" customFormat="1" ht="13.5" customHeight="1">
      <c r="A3" s="876"/>
      <c r="B3" s="876"/>
      <c r="C3" s="852"/>
      <c r="D3" s="871" t="s">
        <v>478</v>
      </c>
      <c r="E3" s="871"/>
      <c r="F3" s="871"/>
      <c r="G3" s="871"/>
      <c r="H3" s="870" t="s">
        <v>155</v>
      </c>
      <c r="I3" s="852"/>
      <c r="J3" s="852"/>
      <c r="K3" s="852"/>
      <c r="L3" s="852"/>
      <c r="M3" s="871"/>
      <c r="N3" s="871"/>
      <c r="O3" s="878"/>
      <c r="P3" s="851" t="s">
        <v>5</v>
      </c>
      <c r="Q3" s="851" t="s">
        <v>228</v>
      </c>
      <c r="R3" s="851" t="s">
        <v>132</v>
      </c>
      <c r="S3" s="862" t="s">
        <v>133</v>
      </c>
      <c r="T3" s="878"/>
      <c r="U3" s="863"/>
      <c r="V3" s="85"/>
      <c r="W3" s="85"/>
      <c r="X3" s="85"/>
      <c r="Y3" s="86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</row>
    <row r="4" spans="1:66" s="17" customFormat="1" ht="23.25" customHeight="1">
      <c r="A4" s="876"/>
      <c r="B4" s="876"/>
      <c r="C4" s="852"/>
      <c r="D4" s="851" t="s">
        <v>5</v>
      </c>
      <c r="E4" s="851" t="s">
        <v>228</v>
      </c>
      <c r="F4" s="851" t="s">
        <v>154</v>
      </c>
      <c r="G4" s="851" t="s">
        <v>120</v>
      </c>
      <c r="H4" s="885"/>
      <c r="I4" s="852"/>
      <c r="J4" s="852"/>
      <c r="K4" s="852"/>
      <c r="L4" s="852"/>
      <c r="M4" s="871"/>
      <c r="N4" s="871"/>
      <c r="O4" s="878"/>
      <c r="P4" s="852"/>
      <c r="Q4" s="852"/>
      <c r="R4" s="852"/>
      <c r="S4" s="863"/>
      <c r="T4" s="878"/>
      <c r="U4" s="863"/>
      <c r="V4" s="85"/>
      <c r="W4" s="85"/>
      <c r="X4" s="85"/>
      <c r="Y4" s="86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pans="1:21" ht="41.25" customHeight="1">
      <c r="A5" s="877"/>
      <c r="B5" s="877"/>
      <c r="C5" s="853"/>
      <c r="D5" s="853"/>
      <c r="E5" s="853"/>
      <c r="F5" s="853"/>
      <c r="G5" s="853"/>
      <c r="H5" s="886"/>
      <c r="I5" s="853"/>
      <c r="J5" s="853"/>
      <c r="K5" s="853"/>
      <c r="L5" s="853"/>
      <c r="M5" s="582" t="s">
        <v>124</v>
      </c>
      <c r="N5" s="582" t="s">
        <v>125</v>
      </c>
      <c r="O5" s="878"/>
      <c r="P5" s="853"/>
      <c r="Q5" s="853"/>
      <c r="R5" s="853"/>
      <c r="S5" s="864"/>
      <c r="T5" s="878"/>
      <c r="U5" s="864"/>
    </row>
    <row r="6" spans="1:66" s="21" customFormat="1" ht="11.25" customHeight="1">
      <c r="A6" s="80" t="s">
        <v>9</v>
      </c>
      <c r="B6" s="80" t="s">
        <v>10</v>
      </c>
      <c r="C6" s="20" t="s">
        <v>157</v>
      </c>
      <c r="D6" s="81" t="s">
        <v>100</v>
      </c>
      <c r="E6" s="81" t="s">
        <v>101</v>
      </c>
      <c r="F6" s="81" t="s">
        <v>102</v>
      </c>
      <c r="G6" s="81" t="s">
        <v>103</v>
      </c>
      <c r="H6" s="81" t="s">
        <v>230</v>
      </c>
      <c r="I6" s="81" t="s">
        <v>476</v>
      </c>
      <c r="J6" s="81" t="s">
        <v>135</v>
      </c>
      <c r="K6" s="81" t="s">
        <v>231</v>
      </c>
      <c r="L6" s="81" t="s">
        <v>232</v>
      </c>
      <c r="M6" s="81" t="s">
        <v>280</v>
      </c>
      <c r="N6" s="81" t="s">
        <v>252</v>
      </c>
      <c r="O6" s="600" t="s">
        <v>281</v>
      </c>
      <c r="P6" s="82" t="s">
        <v>473</v>
      </c>
      <c r="Q6" s="82" t="s">
        <v>481</v>
      </c>
      <c r="R6" s="80" t="s">
        <v>482</v>
      </c>
      <c r="S6" s="80" t="s">
        <v>483</v>
      </c>
      <c r="T6" s="80" t="s">
        <v>474</v>
      </c>
      <c r="U6" s="80" t="s">
        <v>480</v>
      </c>
      <c r="V6" s="583"/>
      <c r="W6" s="583"/>
      <c r="X6" s="583"/>
      <c r="Y6" s="87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3"/>
      <c r="AY6" s="583"/>
      <c r="AZ6" s="583"/>
      <c r="BA6" s="583"/>
      <c r="BB6" s="583"/>
      <c r="BC6" s="583"/>
      <c r="BD6" s="583"/>
      <c r="BE6" s="583"/>
      <c r="BF6" s="583"/>
      <c r="BG6" s="583"/>
      <c r="BH6" s="583"/>
      <c r="BI6" s="583"/>
      <c r="BJ6" s="583"/>
      <c r="BK6" s="583"/>
      <c r="BL6" s="583"/>
      <c r="BM6" s="583"/>
      <c r="BN6" s="583"/>
    </row>
    <row r="7" spans="1:66" s="17" customFormat="1" ht="11.25" customHeight="1">
      <c r="A7" s="23" t="s">
        <v>105</v>
      </c>
      <c r="B7" s="24" t="s">
        <v>61</v>
      </c>
      <c r="C7" s="50">
        <f>SUM(C8:C11)</f>
        <v>390838955</v>
      </c>
      <c r="D7" s="50">
        <f aca="true" t="shared" si="0" ref="D7:T7">SUM(D8:D11)</f>
        <v>25646005</v>
      </c>
      <c r="E7" s="50"/>
      <c r="F7" s="50">
        <f t="shared" si="0"/>
        <v>18550702</v>
      </c>
      <c r="G7" s="50">
        <f t="shared" si="0"/>
        <v>330808442</v>
      </c>
      <c r="H7" s="50">
        <f t="shared" si="0"/>
        <v>15833806</v>
      </c>
      <c r="I7" s="50">
        <v>311045158</v>
      </c>
      <c r="J7" s="50">
        <v>15209305</v>
      </c>
      <c r="K7" s="50"/>
      <c r="L7" s="50">
        <v>0</v>
      </c>
      <c r="M7" s="50">
        <v>295835853</v>
      </c>
      <c r="N7" s="50">
        <v>1085012</v>
      </c>
      <c r="O7" s="50">
        <f>SUM(O8:O11)</f>
        <v>79793797</v>
      </c>
      <c r="P7" s="50">
        <f t="shared" si="0"/>
        <v>10436700</v>
      </c>
      <c r="Q7" s="50"/>
      <c r="R7" s="50">
        <f t="shared" si="0"/>
        <v>18550702</v>
      </c>
      <c r="S7" s="50">
        <f t="shared" si="0"/>
        <v>34972589</v>
      </c>
      <c r="T7" s="50">
        <f t="shared" si="0"/>
        <v>15833806</v>
      </c>
      <c r="U7" s="51"/>
      <c r="V7" s="160"/>
      <c r="W7" s="85"/>
      <c r="X7" s="602"/>
      <c r="Y7" s="603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</row>
    <row r="8" spans="1:66" s="199" customFormat="1" ht="11.25" customHeight="1">
      <c r="A8" s="41">
        <v>1</v>
      </c>
      <c r="B8" s="42" t="s">
        <v>68</v>
      </c>
      <c r="C8" s="595">
        <f>SUM(D8:H8)</f>
        <v>113209523</v>
      </c>
      <c r="D8" s="193">
        <f>11228742-180</f>
        <v>11228562</v>
      </c>
      <c r="E8" s="193"/>
      <c r="F8" s="193">
        <v>5450980</v>
      </c>
      <c r="G8" s="193">
        <v>96328175</v>
      </c>
      <c r="H8" s="193">
        <v>201806</v>
      </c>
      <c r="I8" s="193">
        <f>J8+K8+L8+M8</f>
        <v>100482163</v>
      </c>
      <c r="J8" s="193">
        <v>8631743</v>
      </c>
      <c r="K8" s="193"/>
      <c r="L8" s="193">
        <v>0</v>
      </c>
      <c r="M8" s="193">
        <v>91850420</v>
      </c>
      <c r="N8" s="193">
        <v>419499</v>
      </c>
      <c r="O8" s="595">
        <f>P8+Q8+R8+S8+T8</f>
        <v>12727360</v>
      </c>
      <c r="P8" s="193">
        <f>D8-J8</f>
        <v>2596819</v>
      </c>
      <c r="Q8" s="193">
        <f>E8-K8</f>
        <v>0</v>
      </c>
      <c r="R8" s="193">
        <f aca="true" t="shared" si="1" ref="R8:S39">F8-L8</f>
        <v>5450980</v>
      </c>
      <c r="S8" s="193">
        <f t="shared" si="1"/>
        <v>4477755</v>
      </c>
      <c r="T8" s="193">
        <f>H8</f>
        <v>201806</v>
      </c>
      <c r="U8" s="256">
        <f>M8/G8</f>
        <v>0.9535156251013787</v>
      </c>
      <c r="V8" s="196"/>
      <c r="W8" s="198"/>
      <c r="X8" s="464"/>
      <c r="Y8" s="459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</row>
    <row r="9" spans="1:66" s="203" customFormat="1" ht="11.25" customHeight="1">
      <c r="A9" s="43">
        <f>A8+1</f>
        <v>2</v>
      </c>
      <c r="B9" s="44" t="s">
        <v>106</v>
      </c>
      <c r="C9" s="596">
        <f>SUM(D9:H9)</f>
        <v>166537000</v>
      </c>
      <c r="D9" s="200">
        <v>3308000</v>
      </c>
      <c r="E9" s="200"/>
      <c r="F9" s="200">
        <v>7545000</v>
      </c>
      <c r="G9" s="200">
        <v>140050000</v>
      </c>
      <c r="H9" s="200">
        <v>15634000</v>
      </c>
      <c r="I9" s="200">
        <f aca="true" t="shared" si="2" ref="I9:I43">J9+K9+L9+M9</f>
        <v>126985602</v>
      </c>
      <c r="J9" s="200">
        <v>1618000</v>
      </c>
      <c r="K9" s="200"/>
      <c r="L9" s="200">
        <v>0</v>
      </c>
      <c r="M9" s="200">
        <v>125367602</v>
      </c>
      <c r="N9" s="200">
        <v>424699</v>
      </c>
      <c r="O9" s="596">
        <f aca="true" t="shared" si="3" ref="O9:O42">P9+Q9+R9+S9+T9</f>
        <v>39551398</v>
      </c>
      <c r="P9" s="200">
        <f aca="true" t="shared" si="4" ref="P9:Q39">D9-J9</f>
        <v>1690000</v>
      </c>
      <c r="Q9" s="200">
        <f t="shared" si="4"/>
        <v>0</v>
      </c>
      <c r="R9" s="200">
        <f t="shared" si="1"/>
        <v>7545000</v>
      </c>
      <c r="S9" s="200">
        <f t="shared" si="1"/>
        <v>14682398</v>
      </c>
      <c r="T9" s="200">
        <f>H9</f>
        <v>15634000</v>
      </c>
      <c r="U9" s="260">
        <f>M9/G9</f>
        <v>0.8951631702963228</v>
      </c>
      <c r="V9" s="196"/>
      <c r="W9" s="198"/>
      <c r="X9" s="464"/>
      <c r="Y9" s="459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</row>
    <row r="10" spans="1:66" s="44" customFormat="1" ht="11.25" customHeight="1">
      <c r="A10" s="43">
        <f>A9+1</f>
        <v>3</v>
      </c>
      <c r="B10" s="44" t="s">
        <v>67</v>
      </c>
      <c r="C10" s="597">
        <f>SUM(D10:H10)</f>
        <v>100000000</v>
      </c>
      <c r="D10" s="204">
        <v>10000000</v>
      </c>
      <c r="E10" s="204"/>
      <c r="F10" s="204">
        <v>5000000</v>
      </c>
      <c r="G10" s="204">
        <v>85000000</v>
      </c>
      <c r="H10" s="262">
        <v>0</v>
      </c>
      <c r="I10" s="204">
        <f>J10+K10+L10+M10</f>
        <v>73077291</v>
      </c>
      <c r="J10" s="204">
        <v>3864082</v>
      </c>
      <c r="K10" s="204"/>
      <c r="L10" s="204">
        <v>0</v>
      </c>
      <c r="M10" s="204">
        <v>69213209</v>
      </c>
      <c r="N10" s="204">
        <v>167011</v>
      </c>
      <c r="O10" s="596">
        <f t="shared" si="3"/>
        <v>26922709</v>
      </c>
      <c r="P10" s="204">
        <f t="shared" si="4"/>
        <v>6135918</v>
      </c>
      <c r="Q10" s="204">
        <f t="shared" si="4"/>
        <v>0</v>
      </c>
      <c r="R10" s="204">
        <f t="shared" si="1"/>
        <v>5000000</v>
      </c>
      <c r="S10" s="204">
        <f t="shared" si="1"/>
        <v>15786791</v>
      </c>
      <c r="T10" s="200">
        <f>H10</f>
        <v>0</v>
      </c>
      <c r="U10" s="263">
        <f>M10/G10</f>
        <v>0.8142730470588235</v>
      </c>
      <c r="V10" s="196"/>
      <c r="W10" s="207"/>
      <c r="X10" s="604"/>
      <c r="Y10" s="605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</row>
    <row r="11" spans="1:66" s="227" customFormat="1" ht="11.25" customHeight="1">
      <c r="A11" s="76">
        <f>A10+1</f>
        <v>4</v>
      </c>
      <c r="B11" s="77" t="s">
        <v>70</v>
      </c>
      <c r="C11" s="597">
        <f>SUM(D11:H11)</f>
        <v>11092432</v>
      </c>
      <c r="D11" s="225">
        <v>1109443</v>
      </c>
      <c r="E11" s="225"/>
      <c r="F11" s="225">
        <f>554722</f>
        <v>554722</v>
      </c>
      <c r="G11" s="225">
        <v>9430267</v>
      </c>
      <c r="H11" s="225">
        <v>-2000</v>
      </c>
      <c r="I11" s="225">
        <f t="shared" si="2"/>
        <v>10500102</v>
      </c>
      <c r="J11" s="225">
        <v>1095480</v>
      </c>
      <c r="K11" s="225"/>
      <c r="L11" s="225">
        <v>0</v>
      </c>
      <c r="M11" s="225">
        <v>9404622</v>
      </c>
      <c r="N11" s="225">
        <v>73803</v>
      </c>
      <c r="O11" s="598">
        <f t="shared" si="3"/>
        <v>592330</v>
      </c>
      <c r="P11" s="225">
        <f t="shared" si="4"/>
        <v>13963</v>
      </c>
      <c r="Q11" s="225">
        <f t="shared" si="4"/>
        <v>0</v>
      </c>
      <c r="R11" s="225">
        <f t="shared" si="1"/>
        <v>554722</v>
      </c>
      <c r="S11" s="225">
        <f t="shared" si="1"/>
        <v>25645</v>
      </c>
      <c r="T11" s="225">
        <f>H11</f>
        <v>-2000</v>
      </c>
      <c r="U11" s="265">
        <f>M11/G11</f>
        <v>0.9972805648026721</v>
      </c>
      <c r="V11" s="196"/>
      <c r="W11" s="198"/>
      <c r="X11" s="464"/>
      <c r="Y11" s="459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</row>
    <row r="12" spans="1:66" s="219" customFormat="1" ht="11.25" customHeight="1">
      <c r="A12" s="213" t="s">
        <v>107</v>
      </c>
      <c r="B12" s="214" t="s">
        <v>62</v>
      </c>
      <c r="C12" s="215">
        <f>SUM(C13:C19)</f>
        <v>43299793</v>
      </c>
      <c r="D12" s="215">
        <f aca="true" t="shared" si="5" ref="D12:U12">SUM(D13:D19)</f>
        <v>4623160.600000001</v>
      </c>
      <c r="E12" s="215">
        <f t="shared" si="5"/>
        <v>0</v>
      </c>
      <c r="F12" s="215">
        <f t="shared" si="5"/>
        <v>2148701.3000000003</v>
      </c>
      <c r="G12" s="215">
        <f t="shared" si="5"/>
        <v>34241929.1</v>
      </c>
      <c r="H12" s="215">
        <f t="shared" si="5"/>
        <v>2286002</v>
      </c>
      <c r="I12" s="595">
        <f t="shared" si="2"/>
        <v>27051779</v>
      </c>
      <c r="J12" s="215">
        <v>3047966</v>
      </c>
      <c r="K12" s="215">
        <v>0</v>
      </c>
      <c r="L12" s="215">
        <v>0</v>
      </c>
      <c r="M12" s="215">
        <v>24003813</v>
      </c>
      <c r="N12" s="215">
        <v>270044</v>
      </c>
      <c r="O12" s="215">
        <f t="shared" si="5"/>
        <v>16248014</v>
      </c>
      <c r="P12" s="215">
        <f t="shared" si="5"/>
        <v>1575194.6</v>
      </c>
      <c r="Q12" s="215">
        <f t="shared" si="5"/>
        <v>0</v>
      </c>
      <c r="R12" s="215">
        <f t="shared" si="5"/>
        <v>2148701.3000000003</v>
      </c>
      <c r="S12" s="215">
        <f t="shared" si="5"/>
        <v>10238116.099999998</v>
      </c>
      <c r="T12" s="215">
        <f t="shared" si="5"/>
        <v>2286002</v>
      </c>
      <c r="U12" s="267">
        <f t="shared" si="5"/>
        <v>1.7559667128159726</v>
      </c>
      <c r="V12" s="196"/>
      <c r="W12" s="233"/>
      <c r="X12" s="237"/>
      <c r="Y12" s="251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</row>
    <row r="13" spans="1:66" s="199" customFormat="1" ht="11.25" customHeight="1">
      <c r="A13" s="41">
        <v>5</v>
      </c>
      <c r="B13" s="42" t="s">
        <v>71</v>
      </c>
      <c r="C13" s="595">
        <f aca="true" t="shared" si="6" ref="C13:C42">SUM(D13:H13)</f>
        <v>26725382</v>
      </c>
      <c r="D13" s="193">
        <f>26725382*10%</f>
        <v>2672538.2</v>
      </c>
      <c r="E13" s="193"/>
      <c r="F13" s="193">
        <f>D13/2</f>
        <v>1336269.1</v>
      </c>
      <c r="G13" s="193">
        <f>26725382*85%</f>
        <v>22716574.7</v>
      </c>
      <c r="H13" s="193">
        <v>0</v>
      </c>
      <c r="I13" s="193">
        <f t="shared" si="2"/>
        <v>20165717</v>
      </c>
      <c r="J13" s="193">
        <v>1419985</v>
      </c>
      <c r="K13" s="193"/>
      <c r="L13" s="193">
        <v>0</v>
      </c>
      <c r="M13" s="193">
        <v>18745732</v>
      </c>
      <c r="N13" s="193">
        <v>153568</v>
      </c>
      <c r="O13" s="595">
        <f>P13+Q13+R13+S13+T13</f>
        <v>6559665</v>
      </c>
      <c r="P13" s="193">
        <f>D13-J13</f>
        <v>1252553.2000000002</v>
      </c>
      <c r="Q13" s="193">
        <f t="shared" si="4"/>
        <v>0</v>
      </c>
      <c r="R13" s="193">
        <f t="shared" si="1"/>
        <v>1336269.1</v>
      </c>
      <c r="S13" s="193">
        <f t="shared" si="1"/>
        <v>3970842.6999999993</v>
      </c>
      <c r="T13" s="269">
        <f>H13</f>
        <v>0</v>
      </c>
      <c r="U13" s="256">
        <f aca="true" t="shared" si="7" ref="U13:U36">M13/G13</f>
        <v>0.8252006408342892</v>
      </c>
      <c r="V13" s="196"/>
      <c r="W13" s="198"/>
      <c r="X13" s="464"/>
      <c r="Y13" s="459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</row>
    <row r="14" spans="1:66" s="203" customFormat="1" ht="11.25" customHeight="1">
      <c r="A14" s="43">
        <f aca="true" t="shared" si="8" ref="A14:A19">A13+1</f>
        <v>6</v>
      </c>
      <c r="B14" s="44" t="s">
        <v>72</v>
      </c>
      <c r="C14" s="596">
        <f>SUM(D14:H14)</f>
        <v>10567367</v>
      </c>
      <c r="D14" s="200">
        <v>1349918</v>
      </c>
      <c r="E14" s="200"/>
      <c r="F14" s="200">
        <v>512080</v>
      </c>
      <c r="G14" s="200">
        <v>6419367</v>
      </c>
      <c r="H14" s="200">
        <f>10567367-8281365</f>
        <v>2286002</v>
      </c>
      <c r="I14" s="200">
        <f t="shared" si="2"/>
        <v>3820399</v>
      </c>
      <c r="J14" s="200">
        <v>1349187</v>
      </c>
      <c r="K14" s="200"/>
      <c r="L14" s="200">
        <v>0</v>
      </c>
      <c r="M14" s="200">
        <v>2471212</v>
      </c>
      <c r="N14" s="200">
        <v>77633</v>
      </c>
      <c r="O14" s="596">
        <f t="shared" si="3"/>
        <v>6746968</v>
      </c>
      <c r="P14" s="200">
        <f t="shared" si="4"/>
        <v>731</v>
      </c>
      <c r="Q14" s="200">
        <f t="shared" si="4"/>
        <v>0</v>
      </c>
      <c r="R14" s="200">
        <f t="shared" si="1"/>
        <v>512080</v>
      </c>
      <c r="S14" s="270">
        <f t="shared" si="1"/>
        <v>3948155</v>
      </c>
      <c r="T14" s="200">
        <f aca="true" t="shared" si="9" ref="T14:T19">H14</f>
        <v>2286002</v>
      </c>
      <c r="U14" s="260">
        <f t="shared" si="7"/>
        <v>0.3849619440670708</v>
      </c>
      <c r="V14" s="196"/>
      <c r="W14" s="198"/>
      <c r="X14" s="464"/>
      <c r="Y14" s="459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</row>
    <row r="15" spans="1:66" s="203" customFormat="1" ht="11.25" customHeight="1">
      <c r="A15" s="43">
        <f t="shared" si="8"/>
        <v>7</v>
      </c>
      <c r="B15" s="44" t="s">
        <v>108</v>
      </c>
      <c r="C15" s="596">
        <f t="shared" si="6"/>
        <v>6007044</v>
      </c>
      <c r="D15" s="200">
        <f>6007044*10%</f>
        <v>600704.4</v>
      </c>
      <c r="E15" s="200"/>
      <c r="F15" s="200">
        <f>D15/2</f>
        <v>300352.2</v>
      </c>
      <c r="G15" s="200">
        <f>6007044*85%</f>
        <v>5105987.399999999</v>
      </c>
      <c r="H15" s="259">
        <v>0</v>
      </c>
      <c r="I15" s="200">
        <f t="shared" si="2"/>
        <v>3065663</v>
      </c>
      <c r="J15" s="200">
        <v>278794</v>
      </c>
      <c r="K15" s="200"/>
      <c r="L15" s="200">
        <v>0</v>
      </c>
      <c r="M15" s="200">
        <v>2786869</v>
      </c>
      <c r="N15" s="200">
        <v>38843</v>
      </c>
      <c r="O15" s="596">
        <f t="shared" si="3"/>
        <v>2941380.9999999995</v>
      </c>
      <c r="P15" s="200">
        <f t="shared" si="4"/>
        <v>321910.4</v>
      </c>
      <c r="Q15" s="200">
        <f t="shared" si="4"/>
        <v>0</v>
      </c>
      <c r="R15" s="200">
        <f t="shared" si="1"/>
        <v>300352.2</v>
      </c>
      <c r="S15" s="200">
        <f t="shared" si="1"/>
        <v>2319118.3999999994</v>
      </c>
      <c r="T15" s="222">
        <f t="shared" si="9"/>
        <v>0</v>
      </c>
      <c r="U15" s="260">
        <f t="shared" si="7"/>
        <v>0.5458041279146126</v>
      </c>
      <c r="V15" s="196"/>
      <c r="W15" s="198"/>
      <c r="X15" s="464"/>
      <c r="Y15" s="459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</row>
    <row r="16" spans="1:66" s="203" customFormat="1" ht="11.25" customHeight="1">
      <c r="A16" s="43">
        <f t="shared" si="8"/>
        <v>8</v>
      </c>
      <c r="B16" s="44" t="s">
        <v>73</v>
      </c>
      <c r="C16" s="596">
        <f t="shared" si="6"/>
        <v>0</v>
      </c>
      <c r="D16" s="200"/>
      <c r="E16" s="200"/>
      <c r="F16" s="200"/>
      <c r="G16" s="200"/>
      <c r="H16" s="200"/>
      <c r="I16" s="200">
        <f t="shared" si="2"/>
        <v>0</v>
      </c>
      <c r="J16" s="200"/>
      <c r="K16" s="200"/>
      <c r="L16" s="200"/>
      <c r="M16" s="200">
        <v>0</v>
      </c>
      <c r="N16" s="200">
        <v>0</v>
      </c>
      <c r="O16" s="596">
        <f t="shared" si="3"/>
        <v>0</v>
      </c>
      <c r="P16" s="200">
        <f t="shared" si="4"/>
        <v>0</v>
      </c>
      <c r="Q16" s="200">
        <f t="shared" si="4"/>
        <v>0</v>
      </c>
      <c r="R16" s="200">
        <f t="shared" si="1"/>
        <v>0</v>
      </c>
      <c r="S16" s="200">
        <f t="shared" si="1"/>
        <v>0</v>
      </c>
      <c r="T16" s="200">
        <f t="shared" si="9"/>
        <v>0</v>
      </c>
      <c r="U16" s="260"/>
      <c r="V16" s="196"/>
      <c r="W16" s="198"/>
      <c r="X16" s="464"/>
      <c r="Y16" s="459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</row>
    <row r="17" spans="1:66" s="203" customFormat="1" ht="11.25" customHeight="1">
      <c r="A17" s="43">
        <f t="shared" si="8"/>
        <v>9</v>
      </c>
      <c r="B17" s="44" t="s">
        <v>75</v>
      </c>
      <c r="C17" s="596">
        <f t="shared" si="6"/>
        <v>0</v>
      </c>
      <c r="D17" s="200"/>
      <c r="E17" s="200"/>
      <c r="F17" s="200"/>
      <c r="G17" s="200"/>
      <c r="H17" s="200"/>
      <c r="I17" s="200">
        <f t="shared" si="2"/>
        <v>0</v>
      </c>
      <c r="J17" s="200"/>
      <c r="K17" s="200"/>
      <c r="L17" s="200"/>
      <c r="M17" s="200">
        <v>0</v>
      </c>
      <c r="N17" s="200">
        <v>0</v>
      </c>
      <c r="O17" s="596">
        <f t="shared" si="3"/>
        <v>0</v>
      </c>
      <c r="P17" s="200">
        <f t="shared" si="4"/>
        <v>0</v>
      </c>
      <c r="Q17" s="200">
        <f t="shared" si="4"/>
        <v>0</v>
      </c>
      <c r="R17" s="200">
        <f t="shared" si="1"/>
        <v>0</v>
      </c>
      <c r="S17" s="200">
        <f t="shared" si="1"/>
        <v>0</v>
      </c>
      <c r="T17" s="200">
        <f t="shared" si="9"/>
        <v>0</v>
      </c>
      <c r="U17" s="260"/>
      <c r="V17" s="196"/>
      <c r="W17" s="198"/>
      <c r="X17" s="464"/>
      <c r="Y17" s="459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</row>
    <row r="18" spans="1:66" s="203" customFormat="1" ht="11.25" customHeight="1">
      <c r="A18" s="43">
        <f t="shared" si="8"/>
        <v>10</v>
      </c>
      <c r="B18" s="44" t="s">
        <v>109</v>
      </c>
      <c r="C18" s="596">
        <f t="shared" si="6"/>
        <v>0</v>
      </c>
      <c r="D18" s="200"/>
      <c r="E18" s="200"/>
      <c r="F18" s="200"/>
      <c r="G18" s="200"/>
      <c r="H18" s="200"/>
      <c r="I18" s="200">
        <f t="shared" si="2"/>
        <v>0</v>
      </c>
      <c r="J18" s="200"/>
      <c r="K18" s="200"/>
      <c r="L18" s="200"/>
      <c r="M18" s="200">
        <v>0</v>
      </c>
      <c r="N18" s="200">
        <v>0</v>
      </c>
      <c r="O18" s="596">
        <f t="shared" si="3"/>
        <v>0</v>
      </c>
      <c r="P18" s="200">
        <f t="shared" si="4"/>
        <v>0</v>
      </c>
      <c r="Q18" s="200">
        <f t="shared" si="4"/>
        <v>0</v>
      </c>
      <c r="R18" s="200">
        <f t="shared" si="1"/>
        <v>0</v>
      </c>
      <c r="S18" s="200"/>
      <c r="T18" s="200">
        <f t="shared" si="9"/>
        <v>0</v>
      </c>
      <c r="U18" s="260"/>
      <c r="V18" s="196"/>
      <c r="W18" s="198"/>
      <c r="X18" s="464"/>
      <c r="Y18" s="459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</row>
    <row r="19" spans="1:66" s="227" customFormat="1" ht="11.25" customHeight="1">
      <c r="A19" s="76">
        <f t="shared" si="8"/>
        <v>11</v>
      </c>
      <c r="B19" s="77" t="s">
        <v>77</v>
      </c>
      <c r="C19" s="598">
        <f t="shared" si="6"/>
        <v>0</v>
      </c>
      <c r="D19" s="225"/>
      <c r="E19" s="225"/>
      <c r="F19" s="225"/>
      <c r="G19" s="225"/>
      <c r="H19" s="225"/>
      <c r="I19" s="225">
        <f t="shared" si="2"/>
        <v>0</v>
      </c>
      <c r="J19" s="225"/>
      <c r="K19" s="225"/>
      <c r="L19" s="225"/>
      <c r="M19" s="225">
        <v>0</v>
      </c>
      <c r="N19" s="225">
        <v>0</v>
      </c>
      <c r="O19" s="598">
        <f t="shared" si="3"/>
        <v>0</v>
      </c>
      <c r="P19" s="225">
        <f t="shared" si="4"/>
        <v>0</v>
      </c>
      <c r="Q19" s="225">
        <f t="shared" si="4"/>
        <v>0</v>
      </c>
      <c r="R19" s="225">
        <f t="shared" si="1"/>
        <v>0</v>
      </c>
      <c r="S19" s="225">
        <f t="shared" si="1"/>
        <v>0</v>
      </c>
      <c r="T19" s="225">
        <f t="shared" si="9"/>
        <v>0</v>
      </c>
      <c r="U19" s="272"/>
      <c r="V19" s="196"/>
      <c r="W19" s="198"/>
      <c r="X19" s="464"/>
      <c r="Y19" s="459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</row>
    <row r="20" spans="1:66" s="219" customFormat="1" ht="11.25" customHeight="1">
      <c r="A20" s="213" t="s">
        <v>110</v>
      </c>
      <c r="B20" s="214" t="s">
        <v>63</v>
      </c>
      <c r="C20" s="215">
        <f>SUM(C21:C25)</f>
        <v>44075147</v>
      </c>
      <c r="D20" s="215">
        <f aca="true" t="shared" si="10" ref="D20:U20">SUM(D21:D25)</f>
        <v>4407514.7</v>
      </c>
      <c r="E20" s="215">
        <f t="shared" si="10"/>
        <v>0</v>
      </c>
      <c r="F20" s="215">
        <f t="shared" si="10"/>
        <v>2203757.35</v>
      </c>
      <c r="G20" s="215">
        <f t="shared" si="10"/>
        <v>37463874.949999996</v>
      </c>
      <c r="H20" s="215">
        <f t="shared" si="10"/>
        <v>0</v>
      </c>
      <c r="I20" s="595">
        <f t="shared" si="2"/>
        <v>10679045</v>
      </c>
      <c r="J20" s="215">
        <v>1424052</v>
      </c>
      <c r="K20" s="215">
        <v>0</v>
      </c>
      <c r="L20" s="215">
        <v>0</v>
      </c>
      <c r="M20" s="215">
        <v>9254993</v>
      </c>
      <c r="N20" s="215">
        <v>48155</v>
      </c>
      <c r="O20" s="215">
        <f t="shared" si="10"/>
        <v>33396102</v>
      </c>
      <c r="P20" s="215">
        <f t="shared" si="10"/>
        <v>2983462.7</v>
      </c>
      <c r="Q20" s="215">
        <f t="shared" si="10"/>
        <v>0</v>
      </c>
      <c r="R20" s="215">
        <f t="shared" si="10"/>
        <v>2203757.35</v>
      </c>
      <c r="S20" s="215">
        <f t="shared" si="10"/>
        <v>28208881.95</v>
      </c>
      <c r="T20" s="215">
        <f t="shared" si="10"/>
        <v>0</v>
      </c>
      <c r="U20" s="215" t="e">
        <f t="shared" si="10"/>
        <v>#DIV/0!</v>
      </c>
      <c r="V20" s="196"/>
      <c r="W20" s="233"/>
      <c r="X20" s="237"/>
      <c r="Y20" s="251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</row>
    <row r="21" spans="1:66" s="199" customFormat="1" ht="11.25" customHeight="1">
      <c r="A21" s="41">
        <v>12</v>
      </c>
      <c r="B21" s="42" t="s">
        <v>78</v>
      </c>
      <c r="C21" s="595">
        <v>0</v>
      </c>
      <c r="D21" s="193"/>
      <c r="E21" s="193"/>
      <c r="F21" s="193"/>
      <c r="G21" s="193"/>
      <c r="H21" s="193"/>
      <c r="I21" s="193">
        <f t="shared" si="2"/>
        <v>0</v>
      </c>
      <c r="J21" s="193"/>
      <c r="K21" s="193"/>
      <c r="L21" s="193"/>
      <c r="M21" s="193">
        <v>0</v>
      </c>
      <c r="N21" s="193">
        <v>0</v>
      </c>
      <c r="O21" s="595">
        <f t="shared" si="3"/>
        <v>0</v>
      </c>
      <c r="P21" s="193">
        <f t="shared" si="4"/>
        <v>0</v>
      </c>
      <c r="Q21" s="193">
        <f t="shared" si="4"/>
        <v>0</v>
      </c>
      <c r="R21" s="193">
        <f t="shared" si="1"/>
        <v>0</v>
      </c>
      <c r="S21" s="193">
        <f t="shared" si="1"/>
        <v>0</v>
      </c>
      <c r="T21" s="193"/>
      <c r="U21" s="256" t="e">
        <f t="shared" si="7"/>
        <v>#DIV/0!</v>
      </c>
      <c r="V21" s="196"/>
      <c r="W21" s="198"/>
      <c r="X21" s="464"/>
      <c r="Y21" s="459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</row>
    <row r="22" spans="1:66" s="203" customFormat="1" ht="11.25" customHeight="1">
      <c r="A22" s="43">
        <v>13</v>
      </c>
      <c r="B22" s="44" t="s">
        <v>79</v>
      </c>
      <c r="C22" s="596">
        <f t="shared" si="6"/>
        <v>43280599</v>
      </c>
      <c r="D22" s="200">
        <f>43280599*10%</f>
        <v>4328059.9</v>
      </c>
      <c r="E22" s="200"/>
      <c r="F22" s="200">
        <f>D22/2</f>
        <v>2164029.95</v>
      </c>
      <c r="G22" s="200">
        <f>43280599*85%</f>
        <v>36788509.15</v>
      </c>
      <c r="H22" s="200"/>
      <c r="I22" s="200">
        <f t="shared" si="2"/>
        <v>10679045</v>
      </c>
      <c r="J22" s="200">
        <v>1424052</v>
      </c>
      <c r="K22" s="200"/>
      <c r="L22" s="200"/>
      <c r="M22" s="200">
        <v>9254993</v>
      </c>
      <c r="N22" s="200">
        <v>48155</v>
      </c>
      <c r="O22" s="596">
        <f t="shared" si="3"/>
        <v>32601554</v>
      </c>
      <c r="P22" s="200">
        <f t="shared" si="4"/>
        <v>2904007.9000000004</v>
      </c>
      <c r="Q22" s="200">
        <f t="shared" si="4"/>
        <v>0</v>
      </c>
      <c r="R22" s="200">
        <f t="shared" si="1"/>
        <v>2164029.95</v>
      </c>
      <c r="S22" s="200">
        <f t="shared" si="1"/>
        <v>27533516.15</v>
      </c>
      <c r="T22" s="200">
        <f>H22</f>
        <v>0</v>
      </c>
      <c r="U22" s="260">
        <f t="shared" si="7"/>
        <v>0.25157292898888783</v>
      </c>
      <c r="V22" s="196"/>
      <c r="W22" s="198"/>
      <c r="X22" s="464"/>
      <c r="Y22" s="459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</row>
    <row r="23" spans="1:66" s="203" customFormat="1" ht="11.25" customHeight="1">
      <c r="A23" s="43">
        <f>A22+1</f>
        <v>14</v>
      </c>
      <c r="B23" s="44" t="s">
        <v>111</v>
      </c>
      <c r="C23" s="599">
        <f t="shared" si="6"/>
        <v>0</v>
      </c>
      <c r="D23" s="200"/>
      <c r="E23" s="200"/>
      <c r="F23" s="200"/>
      <c r="G23" s="200"/>
      <c r="H23" s="200"/>
      <c r="I23" s="200">
        <f t="shared" si="2"/>
        <v>0</v>
      </c>
      <c r="J23" s="200"/>
      <c r="K23" s="200"/>
      <c r="L23" s="200"/>
      <c r="M23" s="200">
        <v>0</v>
      </c>
      <c r="N23" s="200">
        <v>0</v>
      </c>
      <c r="O23" s="596">
        <f t="shared" si="3"/>
        <v>0</v>
      </c>
      <c r="P23" s="200">
        <f t="shared" si="4"/>
        <v>0</v>
      </c>
      <c r="Q23" s="200">
        <f t="shared" si="4"/>
        <v>0</v>
      </c>
      <c r="R23" s="200">
        <f t="shared" si="1"/>
        <v>0</v>
      </c>
      <c r="S23" s="200">
        <f t="shared" si="1"/>
        <v>0</v>
      </c>
      <c r="T23" s="200">
        <f aca="true" t="shared" si="11" ref="T23:T42">H23</f>
        <v>0</v>
      </c>
      <c r="U23" s="260" t="e">
        <f t="shared" si="7"/>
        <v>#DIV/0!</v>
      </c>
      <c r="V23" s="196"/>
      <c r="W23" s="198"/>
      <c r="X23" s="464"/>
      <c r="Y23" s="459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</row>
    <row r="24" spans="1:66" s="203" customFormat="1" ht="11.25" customHeight="1">
      <c r="A24" s="43">
        <f>A23+1</f>
        <v>15</v>
      </c>
      <c r="B24" s="44" t="s">
        <v>112</v>
      </c>
      <c r="C24" s="596">
        <v>0</v>
      </c>
      <c r="D24" s="200">
        <v>0</v>
      </c>
      <c r="E24" s="200"/>
      <c r="F24" s="200">
        <v>0</v>
      </c>
      <c r="G24" s="200">
        <v>0</v>
      </c>
      <c r="H24" s="200"/>
      <c r="I24" s="200">
        <f t="shared" si="2"/>
        <v>0</v>
      </c>
      <c r="J24" s="200"/>
      <c r="K24" s="200"/>
      <c r="L24" s="200"/>
      <c r="M24" s="200">
        <v>0</v>
      </c>
      <c r="N24" s="200">
        <v>0</v>
      </c>
      <c r="O24" s="596">
        <f t="shared" si="3"/>
        <v>0</v>
      </c>
      <c r="P24" s="200">
        <f t="shared" si="4"/>
        <v>0</v>
      </c>
      <c r="Q24" s="200">
        <f t="shared" si="4"/>
        <v>0</v>
      </c>
      <c r="R24" s="200">
        <f t="shared" si="1"/>
        <v>0</v>
      </c>
      <c r="S24" s="200">
        <f t="shared" si="1"/>
        <v>0</v>
      </c>
      <c r="T24" s="200">
        <f t="shared" si="11"/>
        <v>0</v>
      </c>
      <c r="U24" s="260" t="e">
        <f t="shared" si="7"/>
        <v>#DIV/0!</v>
      </c>
      <c r="V24" s="196"/>
      <c r="W24" s="198"/>
      <c r="X24" s="464"/>
      <c r="Y24" s="459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</row>
    <row r="25" spans="1:66" s="227" customFormat="1" ht="11.25" customHeight="1">
      <c r="A25" s="76">
        <f>A24+1</f>
        <v>16</v>
      </c>
      <c r="B25" s="77" t="s">
        <v>81</v>
      </c>
      <c r="C25" s="598">
        <f t="shared" si="6"/>
        <v>794548</v>
      </c>
      <c r="D25" s="225">
        <f>794548*10%</f>
        <v>79454.8</v>
      </c>
      <c r="E25" s="225"/>
      <c r="F25" s="225">
        <f>D25/2</f>
        <v>39727.4</v>
      </c>
      <c r="G25" s="225">
        <f>794548*85%</f>
        <v>675365.7999999999</v>
      </c>
      <c r="H25" s="225"/>
      <c r="I25" s="225">
        <f t="shared" si="2"/>
        <v>0</v>
      </c>
      <c r="J25" s="225"/>
      <c r="K25" s="225"/>
      <c r="L25" s="225"/>
      <c r="M25" s="225">
        <v>0</v>
      </c>
      <c r="N25" s="225">
        <v>0</v>
      </c>
      <c r="O25" s="598">
        <f t="shared" si="3"/>
        <v>794548</v>
      </c>
      <c r="P25" s="225">
        <f t="shared" si="4"/>
        <v>79454.8</v>
      </c>
      <c r="Q25" s="225">
        <f t="shared" si="4"/>
        <v>0</v>
      </c>
      <c r="R25" s="225">
        <f t="shared" si="1"/>
        <v>39727.4</v>
      </c>
      <c r="S25" s="225">
        <f t="shared" si="1"/>
        <v>675365.7999999999</v>
      </c>
      <c r="T25" s="225">
        <f t="shared" si="11"/>
        <v>0</v>
      </c>
      <c r="U25" s="272">
        <f t="shared" si="7"/>
        <v>0</v>
      </c>
      <c r="V25" s="196"/>
      <c r="W25" s="198"/>
      <c r="X25" s="464"/>
      <c r="Y25" s="459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</row>
    <row r="26" spans="1:66" s="219" customFormat="1" ht="11.25" customHeight="1">
      <c r="A26" s="213" t="s">
        <v>113</v>
      </c>
      <c r="B26" s="214" t="s">
        <v>64</v>
      </c>
      <c r="C26" s="215">
        <f t="shared" si="6"/>
        <v>69140968</v>
      </c>
      <c r="D26" s="215">
        <f>SUM(D27:D33)</f>
        <v>6914097</v>
      </c>
      <c r="E26" s="215"/>
      <c r="F26" s="215">
        <f>SUM(F27:F33)</f>
        <v>2059687</v>
      </c>
      <c r="G26" s="215">
        <f>SUM(G27:G33)</f>
        <v>60167184</v>
      </c>
      <c r="H26" s="215">
        <f>SUM(H27:H33)</f>
        <v>0</v>
      </c>
      <c r="I26" s="595">
        <f t="shared" si="2"/>
        <v>6668683</v>
      </c>
      <c r="J26" s="215">
        <v>5901409</v>
      </c>
      <c r="K26" s="215"/>
      <c r="L26" s="215">
        <v>0</v>
      </c>
      <c r="M26" s="215">
        <v>767274</v>
      </c>
      <c r="N26" s="215">
        <v>2521</v>
      </c>
      <c r="O26" s="215">
        <f t="shared" si="3"/>
        <v>62472285</v>
      </c>
      <c r="P26" s="215">
        <f>SUM(P27:P33)</f>
        <v>1012688</v>
      </c>
      <c r="Q26" s="215">
        <f t="shared" si="4"/>
        <v>0</v>
      </c>
      <c r="R26" s="215">
        <f>SUM(R27:R33)</f>
        <v>2059687</v>
      </c>
      <c r="S26" s="215">
        <f>SUM(S27:S33)</f>
        <v>59399910</v>
      </c>
      <c r="T26" s="215">
        <f t="shared" si="11"/>
        <v>0</v>
      </c>
      <c r="U26" s="215"/>
      <c r="V26" s="196"/>
      <c r="W26" s="233"/>
      <c r="X26" s="237"/>
      <c r="Y26" s="251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</row>
    <row r="27" spans="1:66" s="199" customFormat="1" ht="11.25" customHeight="1">
      <c r="A27" s="41">
        <v>17</v>
      </c>
      <c r="B27" s="42" t="s">
        <v>114</v>
      </c>
      <c r="C27" s="595">
        <f>SUM(D27:H27)</f>
        <v>59014088</v>
      </c>
      <c r="D27" s="193">
        <v>5901409</v>
      </c>
      <c r="E27" s="193"/>
      <c r="F27" s="193">
        <v>1553343</v>
      </c>
      <c r="G27" s="193">
        <v>51559336</v>
      </c>
      <c r="H27" s="193"/>
      <c r="I27" s="193">
        <f t="shared" si="2"/>
        <v>6668683</v>
      </c>
      <c r="J27" s="193">
        <v>5901409</v>
      </c>
      <c r="K27" s="193"/>
      <c r="L27" s="193"/>
      <c r="M27" s="193">
        <v>767274</v>
      </c>
      <c r="N27" s="193">
        <v>2521</v>
      </c>
      <c r="O27" s="595">
        <f t="shared" si="3"/>
        <v>52345405</v>
      </c>
      <c r="P27" s="193">
        <f t="shared" si="4"/>
        <v>0</v>
      </c>
      <c r="Q27" s="193">
        <f t="shared" si="4"/>
        <v>0</v>
      </c>
      <c r="R27" s="193">
        <f t="shared" si="1"/>
        <v>1553343</v>
      </c>
      <c r="S27" s="193">
        <f t="shared" si="1"/>
        <v>50792062</v>
      </c>
      <c r="T27" s="193">
        <f t="shared" si="11"/>
        <v>0</v>
      </c>
      <c r="U27" s="256">
        <f t="shared" si="7"/>
        <v>0.014881378612013158</v>
      </c>
      <c r="V27" s="196"/>
      <c r="W27" s="198"/>
      <c r="X27" s="464"/>
      <c r="Y27" s="459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</row>
    <row r="28" spans="1:66" s="203" customFormat="1" ht="11.25" customHeight="1">
      <c r="A28" s="43">
        <f aca="true" t="shared" si="12" ref="A28:A33">A27+1</f>
        <v>18</v>
      </c>
      <c r="B28" s="44" t="s">
        <v>115</v>
      </c>
      <c r="C28" s="596">
        <f t="shared" si="6"/>
        <v>0</v>
      </c>
      <c r="D28" s="200"/>
      <c r="E28" s="200"/>
      <c r="F28" s="200"/>
      <c r="G28" s="200"/>
      <c r="H28" s="200"/>
      <c r="I28" s="200">
        <f t="shared" si="2"/>
        <v>0</v>
      </c>
      <c r="J28" s="200"/>
      <c r="K28" s="200"/>
      <c r="L28" s="200"/>
      <c r="M28" s="200">
        <v>0</v>
      </c>
      <c r="N28" s="200">
        <v>0</v>
      </c>
      <c r="O28" s="596">
        <f t="shared" si="3"/>
        <v>0</v>
      </c>
      <c r="P28" s="200">
        <f t="shared" si="4"/>
        <v>0</v>
      </c>
      <c r="Q28" s="200">
        <f t="shared" si="4"/>
        <v>0</v>
      </c>
      <c r="R28" s="200">
        <f t="shared" si="1"/>
        <v>0</v>
      </c>
      <c r="S28" s="200">
        <f t="shared" si="1"/>
        <v>0</v>
      </c>
      <c r="T28" s="200">
        <f t="shared" si="11"/>
        <v>0</v>
      </c>
      <c r="U28" s="260" t="e">
        <f t="shared" si="7"/>
        <v>#DIV/0!</v>
      </c>
      <c r="V28" s="196"/>
      <c r="W28" s="198"/>
      <c r="X28" s="464"/>
      <c r="Y28" s="459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</row>
    <row r="29" spans="1:66" s="203" customFormat="1" ht="11.25" customHeight="1">
      <c r="A29" s="43">
        <f t="shared" si="12"/>
        <v>19</v>
      </c>
      <c r="B29" s="44" t="s">
        <v>116</v>
      </c>
      <c r="C29" s="596">
        <f t="shared" si="6"/>
        <v>0</v>
      </c>
      <c r="D29" s="200"/>
      <c r="E29" s="200"/>
      <c r="F29" s="200"/>
      <c r="G29" s="200"/>
      <c r="H29" s="200"/>
      <c r="I29" s="200">
        <f t="shared" si="2"/>
        <v>0</v>
      </c>
      <c r="J29" s="200"/>
      <c r="K29" s="200"/>
      <c r="L29" s="200"/>
      <c r="M29" s="200">
        <v>0</v>
      </c>
      <c r="N29" s="200">
        <v>0</v>
      </c>
      <c r="O29" s="596">
        <f t="shared" si="3"/>
        <v>0</v>
      </c>
      <c r="P29" s="200">
        <f t="shared" si="4"/>
        <v>0</v>
      </c>
      <c r="Q29" s="200">
        <f t="shared" si="4"/>
        <v>0</v>
      </c>
      <c r="R29" s="200">
        <f t="shared" si="1"/>
        <v>0</v>
      </c>
      <c r="S29" s="200">
        <f t="shared" si="1"/>
        <v>0</v>
      </c>
      <c r="T29" s="200">
        <f t="shared" si="11"/>
        <v>0</v>
      </c>
      <c r="U29" s="260" t="e">
        <f t="shared" si="7"/>
        <v>#DIV/0!</v>
      </c>
      <c r="V29" s="196"/>
      <c r="W29" s="198"/>
      <c r="X29" s="464"/>
      <c r="Y29" s="459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</row>
    <row r="30" spans="1:66" s="203" customFormat="1" ht="11.25" customHeight="1">
      <c r="A30" s="43">
        <f t="shared" si="12"/>
        <v>20</v>
      </c>
      <c r="B30" s="44" t="s">
        <v>84</v>
      </c>
      <c r="C30" s="596">
        <f t="shared" si="6"/>
        <v>0</v>
      </c>
      <c r="D30" s="200"/>
      <c r="E30" s="200"/>
      <c r="F30" s="200"/>
      <c r="G30" s="200"/>
      <c r="H30" s="200"/>
      <c r="I30" s="200">
        <f t="shared" si="2"/>
        <v>0</v>
      </c>
      <c r="J30" s="200"/>
      <c r="K30" s="200"/>
      <c r="L30" s="200"/>
      <c r="M30" s="200">
        <v>0</v>
      </c>
      <c r="N30" s="200">
        <v>0</v>
      </c>
      <c r="O30" s="596">
        <f t="shared" si="3"/>
        <v>0</v>
      </c>
      <c r="P30" s="200">
        <f t="shared" si="4"/>
        <v>0</v>
      </c>
      <c r="Q30" s="200">
        <f t="shared" si="4"/>
        <v>0</v>
      </c>
      <c r="R30" s="200">
        <f t="shared" si="1"/>
        <v>0</v>
      </c>
      <c r="S30" s="200">
        <f t="shared" si="1"/>
        <v>0</v>
      </c>
      <c r="T30" s="200">
        <f t="shared" si="11"/>
        <v>0</v>
      </c>
      <c r="U30" s="260" t="e">
        <f t="shared" si="7"/>
        <v>#DIV/0!</v>
      </c>
      <c r="V30" s="196"/>
      <c r="W30" s="198"/>
      <c r="X30" s="464"/>
      <c r="Y30" s="459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</row>
    <row r="31" spans="1:66" s="203" customFormat="1" ht="11.25" customHeight="1">
      <c r="A31" s="43">
        <f t="shared" si="12"/>
        <v>21</v>
      </c>
      <c r="B31" s="44" t="s">
        <v>83</v>
      </c>
      <c r="C31" s="596">
        <f t="shared" si="6"/>
        <v>0</v>
      </c>
      <c r="D31" s="200"/>
      <c r="E31" s="200"/>
      <c r="F31" s="200"/>
      <c r="G31" s="200"/>
      <c r="H31" s="200"/>
      <c r="I31" s="200">
        <f t="shared" si="2"/>
        <v>0</v>
      </c>
      <c r="J31" s="200"/>
      <c r="K31" s="200"/>
      <c r="L31" s="200"/>
      <c r="M31" s="200">
        <v>0</v>
      </c>
      <c r="N31" s="200">
        <v>0</v>
      </c>
      <c r="O31" s="596">
        <f t="shared" si="3"/>
        <v>0</v>
      </c>
      <c r="P31" s="200">
        <f t="shared" si="4"/>
        <v>0</v>
      </c>
      <c r="Q31" s="200">
        <f t="shared" si="4"/>
        <v>0</v>
      </c>
      <c r="R31" s="200">
        <f t="shared" si="1"/>
        <v>0</v>
      </c>
      <c r="S31" s="200">
        <f t="shared" si="1"/>
        <v>0</v>
      </c>
      <c r="T31" s="200">
        <f t="shared" si="11"/>
        <v>0</v>
      </c>
      <c r="U31" s="260" t="e">
        <f t="shared" si="7"/>
        <v>#DIV/0!</v>
      </c>
      <c r="V31" s="196"/>
      <c r="W31" s="198"/>
      <c r="X31" s="464"/>
      <c r="Y31" s="459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</row>
    <row r="32" spans="1:66" s="203" customFormat="1" ht="11.25" customHeight="1">
      <c r="A32" s="43">
        <f t="shared" si="12"/>
        <v>22</v>
      </c>
      <c r="B32" s="44" t="s">
        <v>85</v>
      </c>
      <c r="C32" s="596">
        <f t="shared" si="6"/>
        <v>10126880</v>
      </c>
      <c r="D32" s="200">
        <f>10126880*10%</f>
        <v>1012688</v>
      </c>
      <c r="E32" s="200"/>
      <c r="F32" s="200">
        <f>D32/2</f>
        <v>506344</v>
      </c>
      <c r="G32" s="200">
        <f>10126880*85%</f>
        <v>8607848</v>
      </c>
      <c r="H32" s="200"/>
      <c r="I32" s="200">
        <f t="shared" si="2"/>
        <v>0</v>
      </c>
      <c r="J32" s="200"/>
      <c r="K32" s="200"/>
      <c r="L32" s="200"/>
      <c r="M32" s="200">
        <v>0</v>
      </c>
      <c r="N32" s="200">
        <v>0</v>
      </c>
      <c r="O32" s="596">
        <f t="shared" si="3"/>
        <v>10126880</v>
      </c>
      <c r="P32" s="200">
        <f t="shared" si="4"/>
        <v>1012688</v>
      </c>
      <c r="Q32" s="200">
        <f t="shared" si="4"/>
        <v>0</v>
      </c>
      <c r="R32" s="200">
        <f t="shared" si="1"/>
        <v>506344</v>
      </c>
      <c r="S32" s="200">
        <f t="shared" si="1"/>
        <v>8607848</v>
      </c>
      <c r="T32" s="200">
        <f t="shared" si="11"/>
        <v>0</v>
      </c>
      <c r="U32" s="260">
        <f t="shared" si="7"/>
        <v>0</v>
      </c>
      <c r="V32" s="196"/>
      <c r="W32" s="198"/>
      <c r="X32" s="464"/>
      <c r="Y32" s="459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</row>
    <row r="33" spans="1:66" s="227" customFormat="1" ht="11.25" customHeight="1">
      <c r="A33" s="76">
        <f t="shared" si="12"/>
        <v>23</v>
      </c>
      <c r="B33" s="77" t="s">
        <v>86</v>
      </c>
      <c r="C33" s="598">
        <f t="shared" si="6"/>
        <v>0</v>
      </c>
      <c r="D33" s="225"/>
      <c r="E33" s="225"/>
      <c r="F33" s="225"/>
      <c r="G33" s="225"/>
      <c r="H33" s="225"/>
      <c r="I33" s="225">
        <f t="shared" si="2"/>
        <v>0</v>
      </c>
      <c r="J33" s="225"/>
      <c r="K33" s="225"/>
      <c r="L33" s="225"/>
      <c r="M33" s="225">
        <v>0</v>
      </c>
      <c r="N33" s="225">
        <v>0</v>
      </c>
      <c r="O33" s="598">
        <f t="shared" si="3"/>
        <v>0</v>
      </c>
      <c r="P33" s="225">
        <f t="shared" si="4"/>
        <v>0</v>
      </c>
      <c r="Q33" s="225">
        <f t="shared" si="4"/>
        <v>0</v>
      </c>
      <c r="R33" s="225">
        <f t="shared" si="1"/>
        <v>0</v>
      </c>
      <c r="S33" s="225">
        <f t="shared" si="1"/>
        <v>0</v>
      </c>
      <c r="T33" s="225">
        <f t="shared" si="11"/>
        <v>0</v>
      </c>
      <c r="U33" s="272" t="e">
        <f t="shared" si="7"/>
        <v>#DIV/0!</v>
      </c>
      <c r="V33" s="196"/>
      <c r="W33" s="198"/>
      <c r="X33" s="464"/>
      <c r="Y33" s="459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</row>
    <row r="34" spans="1:66" s="219" customFormat="1" ht="11.25" customHeight="1">
      <c r="A34" s="213" t="s">
        <v>117</v>
      </c>
      <c r="B34" s="214" t="s">
        <v>65</v>
      </c>
      <c r="C34" s="215">
        <f>SUM(C35:C39)</f>
        <v>540507788</v>
      </c>
      <c r="D34" s="215">
        <f aca="true" t="shared" si="13" ref="D34:U34">SUM(D35:D39)</f>
        <v>49392331.56</v>
      </c>
      <c r="E34" s="215">
        <f t="shared" si="13"/>
        <v>10069495</v>
      </c>
      <c r="F34" s="215">
        <f t="shared" si="13"/>
        <v>27100851.200000003</v>
      </c>
      <c r="G34" s="215">
        <f t="shared" si="13"/>
        <v>453945110.24</v>
      </c>
      <c r="H34" s="215">
        <f t="shared" si="13"/>
        <v>0</v>
      </c>
      <c r="I34" s="595">
        <f t="shared" si="2"/>
        <v>464146079</v>
      </c>
      <c r="J34" s="215">
        <v>32454207</v>
      </c>
      <c r="K34" s="215">
        <v>10068616</v>
      </c>
      <c r="L34" s="215">
        <v>12367566</v>
      </c>
      <c r="M34" s="215">
        <v>409255690</v>
      </c>
      <c r="N34" s="215">
        <v>1418351</v>
      </c>
      <c r="O34" s="215">
        <f t="shared" si="13"/>
        <v>76361709.00000001</v>
      </c>
      <c r="P34" s="215">
        <f t="shared" si="13"/>
        <v>16938124.56</v>
      </c>
      <c r="Q34" s="215">
        <f t="shared" si="13"/>
        <v>879</v>
      </c>
      <c r="R34" s="215">
        <f t="shared" si="13"/>
        <v>14733285.200000001</v>
      </c>
      <c r="S34" s="215">
        <f t="shared" si="13"/>
        <v>44689420.24000001</v>
      </c>
      <c r="T34" s="215">
        <f t="shared" si="13"/>
        <v>0</v>
      </c>
      <c r="U34" s="215">
        <f t="shared" si="13"/>
        <v>4.550386278534425</v>
      </c>
      <c r="V34" s="196"/>
      <c r="W34" s="233"/>
      <c r="X34" s="237"/>
      <c r="Y34" s="251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</row>
    <row r="35" spans="1:66" s="199" customFormat="1" ht="11.25" customHeight="1">
      <c r="A35" s="41">
        <v>24</v>
      </c>
      <c r="B35" s="42" t="s">
        <v>87</v>
      </c>
      <c r="C35" s="595">
        <f>SUM(D35:H35)</f>
        <v>162134116</v>
      </c>
      <c r="D35" s="193">
        <v>13423881</v>
      </c>
      <c r="E35" s="193">
        <v>8724495</v>
      </c>
      <c r="F35" s="193">
        <v>8186621</v>
      </c>
      <c r="G35" s="193">
        <f>133462059-1662940</f>
        <v>131799119</v>
      </c>
      <c r="H35" s="193"/>
      <c r="I35" s="193">
        <f t="shared" si="2"/>
        <v>103774639</v>
      </c>
      <c r="J35" s="193">
        <v>3901901</v>
      </c>
      <c r="K35" s="193">
        <v>8724495</v>
      </c>
      <c r="L35" s="193"/>
      <c r="M35" s="193">
        <v>91148243</v>
      </c>
      <c r="N35" s="193">
        <v>251346</v>
      </c>
      <c r="O35" s="595">
        <f t="shared" si="3"/>
        <v>58359477</v>
      </c>
      <c r="P35" s="193">
        <f t="shared" si="4"/>
        <v>9521980</v>
      </c>
      <c r="Q35" s="193">
        <f t="shared" si="4"/>
        <v>0</v>
      </c>
      <c r="R35" s="193">
        <f t="shared" si="1"/>
        <v>8186621</v>
      </c>
      <c r="S35" s="193">
        <f t="shared" si="1"/>
        <v>40650876</v>
      </c>
      <c r="T35" s="193">
        <f t="shared" si="11"/>
        <v>0</v>
      </c>
      <c r="U35" s="256">
        <f t="shared" si="7"/>
        <v>0.6915694406121182</v>
      </c>
      <c r="V35" s="196"/>
      <c r="W35" s="198"/>
      <c r="X35" s="464"/>
      <c r="Y35" s="459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</row>
    <row r="36" spans="1:66" s="203" customFormat="1" ht="11.25" customHeight="1">
      <c r="A36" s="43">
        <f>A35+1</f>
        <v>25</v>
      </c>
      <c r="B36" s="44" t="s">
        <v>88</v>
      </c>
      <c r="C36" s="596">
        <f>SUM(D36:H36)</f>
        <v>41492700</v>
      </c>
      <c r="D36" s="200">
        <v>4181190</v>
      </c>
      <c r="E36" s="200"/>
      <c r="F36" s="200">
        <v>2081100</v>
      </c>
      <c r="G36" s="200">
        <v>35230410</v>
      </c>
      <c r="H36" s="200"/>
      <c r="I36" s="200">
        <f t="shared" si="2"/>
        <v>32740240</v>
      </c>
      <c r="J36" s="200">
        <v>4181190</v>
      </c>
      <c r="K36" s="200"/>
      <c r="L36" s="200"/>
      <c r="M36" s="200">
        <v>28559050</v>
      </c>
      <c r="N36" s="200">
        <v>222241</v>
      </c>
      <c r="O36" s="596">
        <f t="shared" si="3"/>
        <v>8752460</v>
      </c>
      <c r="P36" s="200">
        <f t="shared" si="4"/>
        <v>0</v>
      </c>
      <c r="Q36" s="200">
        <f t="shared" si="4"/>
        <v>0</v>
      </c>
      <c r="R36" s="200">
        <f t="shared" si="1"/>
        <v>2081100</v>
      </c>
      <c r="S36" s="200">
        <f t="shared" si="1"/>
        <v>6671360</v>
      </c>
      <c r="T36" s="200">
        <f t="shared" si="11"/>
        <v>0</v>
      </c>
      <c r="U36" s="260">
        <f t="shared" si="7"/>
        <v>0.8106363224271305</v>
      </c>
      <c r="V36" s="196"/>
      <c r="W36" s="198"/>
      <c r="X36" s="464"/>
      <c r="Y36" s="459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</row>
    <row r="37" spans="1:66" s="203" customFormat="1" ht="11.25" customHeight="1">
      <c r="A37" s="43">
        <f>A36+1</f>
        <v>26</v>
      </c>
      <c r="B37" s="44" t="s">
        <v>89</v>
      </c>
      <c r="C37" s="596">
        <f t="shared" si="6"/>
        <v>57533683</v>
      </c>
      <c r="D37" s="200">
        <v>5949898</v>
      </c>
      <c r="E37" s="200"/>
      <c r="F37" s="200">
        <v>2865766</v>
      </c>
      <c r="G37" s="200">
        <v>48718019</v>
      </c>
      <c r="H37" s="200"/>
      <c r="I37" s="200">
        <f t="shared" si="2"/>
        <v>54667917</v>
      </c>
      <c r="J37" s="200">
        <v>5949898</v>
      </c>
      <c r="K37" s="200"/>
      <c r="L37" s="200">
        <v>0</v>
      </c>
      <c r="M37" s="200">
        <v>48718019</v>
      </c>
      <c r="N37" s="200">
        <v>161860</v>
      </c>
      <c r="O37" s="596">
        <f t="shared" si="3"/>
        <v>2865766</v>
      </c>
      <c r="P37" s="200">
        <f t="shared" si="4"/>
        <v>0</v>
      </c>
      <c r="Q37" s="200">
        <f t="shared" si="4"/>
        <v>0</v>
      </c>
      <c r="R37" s="200">
        <f t="shared" si="1"/>
        <v>2865766</v>
      </c>
      <c r="S37" s="200">
        <f>G37-M37</f>
        <v>0</v>
      </c>
      <c r="T37" s="200">
        <f t="shared" si="11"/>
        <v>0</v>
      </c>
      <c r="U37" s="260">
        <f>M37/G37</f>
        <v>1</v>
      </c>
      <c r="V37" s="196"/>
      <c r="W37" s="198"/>
      <c r="X37" s="464"/>
      <c r="Y37" s="459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</row>
    <row r="38" spans="1:66" s="203" customFormat="1" ht="11.25" customHeight="1">
      <c r="A38" s="43">
        <f>A37+1</f>
        <v>27</v>
      </c>
      <c r="B38" s="44" t="s">
        <v>90</v>
      </c>
      <c r="C38" s="596">
        <f t="shared" si="6"/>
        <v>69610605</v>
      </c>
      <c r="D38" s="200">
        <v>6961061</v>
      </c>
      <c r="E38" s="200"/>
      <c r="F38" s="200">
        <v>3480530</v>
      </c>
      <c r="G38" s="200">
        <f>55532729+3636285</f>
        <v>59169014</v>
      </c>
      <c r="H38" s="200"/>
      <c r="I38" s="200">
        <f t="shared" si="2"/>
        <v>63311626</v>
      </c>
      <c r="J38" s="200">
        <v>1184213</v>
      </c>
      <c r="K38" s="200"/>
      <c r="L38" s="200">
        <v>0</v>
      </c>
      <c r="M38" s="200">
        <v>62127413</v>
      </c>
      <c r="N38" s="200">
        <v>449025</v>
      </c>
      <c r="O38" s="596">
        <f t="shared" si="3"/>
        <v>6298979</v>
      </c>
      <c r="P38" s="200">
        <f t="shared" si="4"/>
        <v>5776848</v>
      </c>
      <c r="Q38" s="200">
        <f t="shared" si="4"/>
        <v>0</v>
      </c>
      <c r="R38" s="200">
        <f t="shared" si="1"/>
        <v>3480530</v>
      </c>
      <c r="S38" s="200">
        <f t="shared" si="1"/>
        <v>-2958399</v>
      </c>
      <c r="T38" s="200">
        <f t="shared" si="11"/>
        <v>0</v>
      </c>
      <c r="U38" s="260">
        <f>M38/G38</f>
        <v>1.0499991262318482</v>
      </c>
      <c r="V38" s="196"/>
      <c r="W38" s="198"/>
      <c r="X38" s="464"/>
      <c r="Y38" s="459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</row>
    <row r="39" spans="1:66" s="227" customFormat="1" ht="11.25" customHeight="1">
      <c r="A39" s="76">
        <f>A38+1</f>
        <v>28</v>
      </c>
      <c r="B39" s="77" t="s">
        <v>91</v>
      </c>
      <c r="C39" s="599">
        <f>SUM(D39:H39)</f>
        <v>209736684</v>
      </c>
      <c r="D39" s="225">
        <f>209736684*9%</f>
        <v>18876301.56</v>
      </c>
      <c r="E39" s="225">
        <v>1345000</v>
      </c>
      <c r="F39" s="225">
        <f>209736684*5%</f>
        <v>10486834.200000001</v>
      </c>
      <c r="G39" s="225">
        <f>209736684-D39-E39-F39</f>
        <v>179028548.24</v>
      </c>
      <c r="H39" s="225"/>
      <c r="I39" s="225">
        <f t="shared" si="2"/>
        <v>209651657</v>
      </c>
      <c r="J39" s="225">
        <v>17237005</v>
      </c>
      <c r="K39" s="225">
        <v>1344121</v>
      </c>
      <c r="L39" s="225">
        <v>12367566</v>
      </c>
      <c r="M39" s="210">
        <v>178702965</v>
      </c>
      <c r="N39" s="210">
        <v>333879</v>
      </c>
      <c r="O39" s="599">
        <f t="shared" si="3"/>
        <v>85027.00000000931</v>
      </c>
      <c r="P39" s="210">
        <f t="shared" si="4"/>
        <v>1639296.5599999987</v>
      </c>
      <c r="Q39" s="210">
        <f t="shared" si="4"/>
        <v>879</v>
      </c>
      <c r="R39" s="210">
        <f t="shared" si="1"/>
        <v>-1880731.7999999989</v>
      </c>
      <c r="S39" s="210">
        <f t="shared" si="1"/>
        <v>325583.24000000954</v>
      </c>
      <c r="T39" s="210">
        <f t="shared" si="11"/>
        <v>0</v>
      </c>
      <c r="U39" s="273">
        <f>M39/G39</f>
        <v>0.9981813892633283</v>
      </c>
      <c r="V39" s="196"/>
      <c r="W39" s="198"/>
      <c r="X39" s="464"/>
      <c r="Y39" s="459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</row>
    <row r="40" spans="1:66" s="17" customFormat="1" ht="11.25" customHeight="1">
      <c r="A40" s="38" t="s">
        <v>118</v>
      </c>
      <c r="B40" s="39" t="s">
        <v>66</v>
      </c>
      <c r="C40" s="40">
        <f aca="true" t="shared" si="14" ref="C40:U40">SUM(C41:C42)</f>
        <v>3000000</v>
      </c>
      <c r="D40" s="40">
        <f t="shared" si="14"/>
        <v>300000</v>
      </c>
      <c r="E40" s="40">
        <f t="shared" si="14"/>
        <v>0</v>
      </c>
      <c r="F40" s="40">
        <f t="shared" si="14"/>
        <v>150000</v>
      </c>
      <c r="G40" s="40">
        <f t="shared" si="14"/>
        <v>2550000</v>
      </c>
      <c r="H40" s="40">
        <f t="shared" si="14"/>
        <v>0</v>
      </c>
      <c r="I40" s="595">
        <f t="shared" si="2"/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f t="shared" si="14"/>
        <v>3000000</v>
      </c>
      <c r="P40" s="40">
        <f t="shared" si="14"/>
        <v>300000</v>
      </c>
      <c r="Q40" s="40">
        <f t="shared" si="14"/>
        <v>0</v>
      </c>
      <c r="R40" s="40">
        <f t="shared" si="14"/>
        <v>150000</v>
      </c>
      <c r="S40" s="40">
        <f t="shared" si="14"/>
        <v>2550000</v>
      </c>
      <c r="T40" s="40">
        <f t="shared" si="14"/>
        <v>0</v>
      </c>
      <c r="U40" s="40" t="e">
        <f t="shared" si="14"/>
        <v>#DIV/0!</v>
      </c>
      <c r="V40" s="85"/>
      <c r="W40" s="85"/>
      <c r="X40" s="602"/>
      <c r="Y40" s="159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</row>
    <row r="41" spans="1:66" s="78" customFormat="1" ht="11.25" customHeight="1">
      <c r="A41" s="29">
        <v>29</v>
      </c>
      <c r="B41" s="30" t="s">
        <v>92</v>
      </c>
      <c r="C41" s="93">
        <f t="shared" si="6"/>
        <v>3000000</v>
      </c>
      <c r="D41" s="31">
        <v>300000</v>
      </c>
      <c r="E41" s="31"/>
      <c r="F41" s="31">
        <v>150000</v>
      </c>
      <c r="G41" s="31">
        <f>3000000-D41-F41</f>
        <v>2550000</v>
      </c>
      <c r="H41" s="31"/>
      <c r="I41" s="31">
        <f t="shared" si="2"/>
        <v>0</v>
      </c>
      <c r="J41" s="31"/>
      <c r="K41" s="31"/>
      <c r="L41" s="31"/>
      <c r="M41" s="31"/>
      <c r="N41" s="31"/>
      <c r="O41" s="93">
        <f t="shared" si="3"/>
        <v>3000000</v>
      </c>
      <c r="P41" s="31">
        <f aca="true" t="shared" si="15" ref="P41:S42">D41-J41</f>
        <v>300000</v>
      </c>
      <c r="Q41" s="31">
        <f t="shared" si="15"/>
        <v>0</v>
      </c>
      <c r="R41" s="31">
        <f t="shared" si="15"/>
        <v>150000</v>
      </c>
      <c r="S41" s="31">
        <f t="shared" si="15"/>
        <v>2550000</v>
      </c>
      <c r="T41" s="31">
        <f t="shared" si="11"/>
        <v>0</v>
      </c>
      <c r="U41" s="53">
        <f>M41/G41</f>
        <v>0</v>
      </c>
      <c r="V41" s="86"/>
      <c r="W41" s="86"/>
      <c r="X41" s="606"/>
      <c r="Y41" s="603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66" s="612" customFormat="1" ht="11.25" customHeight="1">
      <c r="A42" s="607">
        <v>30</v>
      </c>
      <c r="B42" s="608" t="s">
        <v>93</v>
      </c>
      <c r="C42" s="609">
        <f t="shared" si="6"/>
        <v>0</v>
      </c>
      <c r="D42" s="610"/>
      <c r="E42" s="610"/>
      <c r="F42" s="610"/>
      <c r="G42" s="610"/>
      <c r="H42" s="610"/>
      <c r="I42" s="610">
        <f t="shared" si="2"/>
        <v>0</v>
      </c>
      <c r="J42" s="610"/>
      <c r="K42" s="610"/>
      <c r="L42" s="610"/>
      <c r="M42" s="610"/>
      <c r="N42" s="610"/>
      <c r="O42" s="609">
        <f t="shared" si="3"/>
        <v>0</v>
      </c>
      <c r="P42" s="610">
        <f t="shared" si="15"/>
        <v>0</v>
      </c>
      <c r="Q42" s="610">
        <f t="shared" si="15"/>
        <v>0</v>
      </c>
      <c r="R42" s="610">
        <f t="shared" si="15"/>
        <v>0</v>
      </c>
      <c r="S42" s="610">
        <f t="shared" si="15"/>
        <v>0</v>
      </c>
      <c r="T42" s="610">
        <f t="shared" si="11"/>
        <v>0</v>
      </c>
      <c r="U42" s="611" t="e">
        <f>M42/G42</f>
        <v>#DIV/0!</v>
      </c>
      <c r="V42" s="86"/>
      <c r="W42" s="86"/>
      <c r="X42" s="606"/>
      <c r="Y42" s="603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55" s="614" customFormat="1" ht="11.25" customHeight="1">
      <c r="A43" s="45"/>
      <c r="B43" s="46" t="s">
        <v>60</v>
      </c>
      <c r="C43" s="40">
        <f>C7+C12+C20+C26+C34+C40</f>
        <v>1090862651</v>
      </c>
      <c r="D43" s="40">
        <f aca="true" t="shared" si="16" ref="D43:T43">D7+D12+D20+D26+D34+D40</f>
        <v>91283108.86000001</v>
      </c>
      <c r="E43" s="40">
        <f t="shared" si="16"/>
        <v>10069495</v>
      </c>
      <c r="F43" s="40">
        <f t="shared" si="16"/>
        <v>52213698.85000001</v>
      </c>
      <c r="G43" s="40">
        <f t="shared" si="16"/>
        <v>919176540.29</v>
      </c>
      <c r="H43" s="40">
        <f t="shared" si="16"/>
        <v>18119808</v>
      </c>
      <c r="I43" s="40">
        <f t="shared" si="2"/>
        <v>819590744</v>
      </c>
      <c r="J43" s="40">
        <v>58036939</v>
      </c>
      <c r="K43" s="40">
        <v>10068616</v>
      </c>
      <c r="L43" s="40">
        <v>12367566</v>
      </c>
      <c r="M43" s="40">
        <v>739117623</v>
      </c>
      <c r="N43" s="40">
        <v>2824083</v>
      </c>
      <c r="O43" s="40">
        <f t="shared" si="16"/>
        <v>271271907</v>
      </c>
      <c r="P43" s="40">
        <f t="shared" si="16"/>
        <v>33246169.86</v>
      </c>
      <c r="Q43" s="40">
        <f t="shared" si="16"/>
        <v>879</v>
      </c>
      <c r="R43" s="40">
        <f t="shared" si="16"/>
        <v>39846132.85</v>
      </c>
      <c r="S43" s="40">
        <f t="shared" si="16"/>
        <v>180058917.29000002</v>
      </c>
      <c r="T43" s="40">
        <f t="shared" si="16"/>
        <v>18119808</v>
      </c>
      <c r="U43" s="613">
        <f>M43/G43</f>
        <v>0.8041084499032238</v>
      </c>
      <c r="X43" s="574"/>
      <c r="Y43" s="603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615"/>
    </row>
    <row r="44" spans="3:22" ht="17.25" customHeight="1">
      <c r="C44" s="92"/>
      <c r="F44" s="28"/>
      <c r="G44" s="28"/>
      <c r="H44" s="28"/>
      <c r="I44" s="92"/>
      <c r="J44" s="28"/>
      <c r="K44" s="28"/>
      <c r="M44" s="15"/>
      <c r="N44" s="15"/>
      <c r="O44" s="17"/>
      <c r="V44" s="603"/>
    </row>
    <row r="45" spans="6:15" ht="17.25" customHeight="1">
      <c r="F45" s="28"/>
      <c r="M45" s="192"/>
      <c r="N45" s="15"/>
      <c r="O45" s="17"/>
    </row>
    <row r="46" spans="13:15" ht="17.25" customHeight="1">
      <c r="M46" s="15"/>
      <c r="N46" s="15"/>
      <c r="O46" s="17"/>
    </row>
    <row r="47" spans="13:15" ht="17.25" customHeight="1">
      <c r="M47" s="15"/>
      <c r="N47" s="15"/>
      <c r="O47" s="17"/>
    </row>
  </sheetData>
  <sheetProtection/>
  <mergeCells count="26">
    <mergeCell ref="A1:A5"/>
    <mergeCell ref="B1:B5"/>
    <mergeCell ref="O1:T1"/>
    <mergeCell ref="U1:U5"/>
    <mergeCell ref="C2:C5"/>
    <mergeCell ref="D2:H2"/>
    <mergeCell ref="I2:I5"/>
    <mergeCell ref="J2:J5"/>
    <mergeCell ref="T2:T5"/>
    <mergeCell ref="D4:D5"/>
    <mergeCell ref="E4:E5"/>
    <mergeCell ref="F4:F5"/>
    <mergeCell ref="G4:G5"/>
    <mergeCell ref="K2:K5"/>
    <mergeCell ref="L2:L5"/>
    <mergeCell ref="M2:N4"/>
    <mergeCell ref="C1:H1"/>
    <mergeCell ref="I1:N1"/>
    <mergeCell ref="P3:P5"/>
    <mergeCell ref="Q3:Q5"/>
    <mergeCell ref="R3:R5"/>
    <mergeCell ref="S3:S5"/>
    <mergeCell ref="P2:S2"/>
    <mergeCell ref="O2:O5"/>
    <mergeCell ref="D3:G3"/>
    <mergeCell ref="H3:H5"/>
  </mergeCells>
  <printOptions horizontalCentered="1"/>
  <pageMargins left="0.2" right="0.2" top="0.75" bottom="0.5" header="0" footer="0"/>
  <pageSetup horizontalDpi="600" verticalDpi="600" orientation="landscape" r:id="rId3"/>
  <headerFooter>
    <oddHeader>&amp;C&amp;"Time new roman,Bold"&amp;10Phụ biểu 09. Kết quả giải  ngân tiền DVMTR thu được trong năm 2011, 2012 của Quỹ Bảo vệ và Phát triển rừng tỉnh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48"/>
  <sheetViews>
    <sheetView zoomScale="120" zoomScaleNormal="120" zoomScalePageLayoutView="0" workbookViewId="0" topLeftCell="A1">
      <pane xSplit="2" ySplit="8" topLeftCell="C18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D46" sqref="D46"/>
    </sheetView>
  </sheetViews>
  <sheetFormatPr defaultColWidth="9.140625" defaultRowHeight="35.25" customHeight="1"/>
  <cols>
    <col min="1" max="1" width="6.00390625" style="14" customWidth="1"/>
    <col min="2" max="2" width="12.28125" style="14" customWidth="1"/>
    <col min="3" max="3" width="11.00390625" style="14" customWidth="1"/>
    <col min="4" max="4" width="10.00390625" style="14" customWidth="1"/>
    <col min="5" max="5" width="9.28125" style="14" customWidth="1"/>
    <col min="6" max="6" width="9.421875" style="14" customWidth="1"/>
    <col min="7" max="7" width="10.28125" style="14" customWidth="1"/>
    <col min="8" max="8" width="9.57421875" style="14" customWidth="1"/>
    <col min="9" max="9" width="10.421875" style="14" customWidth="1"/>
    <col min="10" max="10" width="9.57421875" style="14" customWidth="1"/>
    <col min="11" max="11" width="8.7109375" style="14" customWidth="1"/>
    <col min="12" max="12" width="8.421875" style="14" customWidth="1"/>
    <col min="13" max="13" width="10.57421875" style="14" customWidth="1"/>
    <col min="14" max="14" width="8.57421875" style="14" customWidth="1"/>
    <col min="15" max="15" width="10.28125" style="14" customWidth="1"/>
    <col min="16" max="16" width="10.140625" style="15" customWidth="1"/>
    <col min="17" max="17" width="4.8515625" style="15" customWidth="1"/>
    <col min="18" max="19" width="9.28125" style="15" customWidth="1"/>
    <col min="20" max="20" width="7.00390625" style="16" customWidth="1"/>
    <col min="21" max="21" width="9.7109375" style="16" customWidth="1"/>
    <col min="22" max="22" width="7.140625" style="16" customWidth="1"/>
    <col min="23" max="23" width="8.28125" style="16" customWidth="1"/>
    <col min="24" max="24" width="10.421875" style="16" customWidth="1"/>
    <col min="25" max="25" width="7.421875" style="16" customWidth="1"/>
    <col min="26" max="26" width="7.57421875" style="16" customWidth="1"/>
    <col min="27" max="27" width="9.8515625" style="16" customWidth="1"/>
    <col min="28" max="28" width="7.00390625" style="16" customWidth="1"/>
    <col min="29" max="29" width="6.28125" style="16" customWidth="1"/>
    <col min="30" max="30" width="9.7109375" style="16" customWidth="1"/>
    <col min="31" max="32" width="6.28125" style="16" customWidth="1"/>
    <col min="33" max="33" width="9.8515625" style="16" customWidth="1"/>
    <col min="34" max="34" width="7.28125" style="16" customWidth="1"/>
    <col min="35" max="35" width="7.7109375" style="16" customWidth="1"/>
    <col min="36" max="36" width="10.57421875" style="16" customWidth="1"/>
    <col min="37" max="38" width="9.00390625" style="14" customWidth="1"/>
    <col min="39" max="39" width="9.421875" style="14" customWidth="1"/>
    <col min="40" max="40" width="10.00390625" style="14" customWidth="1"/>
    <col min="41" max="41" width="9.28125" style="14" customWidth="1"/>
    <col min="42" max="42" width="8.00390625" style="88" customWidth="1"/>
    <col min="43" max="43" width="9.8515625" style="86" bestFit="1" customWidth="1"/>
    <col min="44" max="107" width="9.140625" style="86" customWidth="1"/>
    <col min="108" max="212" width="9.140625" style="14" customWidth="1"/>
    <col min="213" max="213" width="4.8515625" style="14" customWidth="1"/>
    <col min="214" max="214" width="11.7109375" style="14" customWidth="1"/>
    <col min="215" max="215" width="11.421875" style="14" customWidth="1"/>
    <col min="216" max="216" width="12.7109375" style="14" customWidth="1"/>
    <col min="217" max="217" width="9.57421875" style="14" customWidth="1"/>
    <col min="218" max="219" width="10.140625" style="14" customWidth="1"/>
    <col min="220" max="220" width="10.57421875" style="14" customWidth="1"/>
    <col min="221" max="221" width="7.7109375" style="14" customWidth="1"/>
    <col min="222" max="222" width="9.140625" style="14" customWidth="1"/>
    <col min="223" max="223" width="7.8515625" style="14" customWidth="1"/>
    <col min="224" max="224" width="9.00390625" style="14" customWidth="1"/>
    <col min="225" max="225" width="9.28125" style="14" customWidth="1"/>
    <col min="226" max="226" width="8.140625" style="14" customWidth="1"/>
    <col min="227" max="16384" width="9.140625" style="14" customWidth="1"/>
  </cols>
  <sheetData>
    <row r="1" spans="1:107" s="17" customFormat="1" ht="15.75" customHeight="1">
      <c r="A1" s="875" t="s">
        <v>0</v>
      </c>
      <c r="B1" s="875" t="s">
        <v>131</v>
      </c>
      <c r="C1" s="872" t="s">
        <v>165</v>
      </c>
      <c r="D1" s="873"/>
      <c r="E1" s="873"/>
      <c r="F1" s="873"/>
      <c r="G1" s="873"/>
      <c r="H1" s="873"/>
      <c r="I1" s="889" t="s">
        <v>128</v>
      </c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1"/>
      <c r="AD1" s="95"/>
      <c r="AE1" s="95"/>
      <c r="AF1" s="95"/>
      <c r="AG1" s="95"/>
      <c r="AH1" s="95"/>
      <c r="AI1" s="95"/>
      <c r="AJ1" s="869" t="s">
        <v>163</v>
      </c>
      <c r="AK1" s="869"/>
      <c r="AL1" s="869"/>
      <c r="AM1" s="869"/>
      <c r="AN1" s="869"/>
      <c r="AO1" s="870"/>
      <c r="AP1" s="862" t="s">
        <v>162</v>
      </c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</row>
    <row r="2" spans="1:107" s="17" customFormat="1" ht="15" customHeight="1">
      <c r="A2" s="876"/>
      <c r="B2" s="876"/>
      <c r="C2" s="851" t="s">
        <v>121</v>
      </c>
      <c r="D2" s="868" t="s">
        <v>95</v>
      </c>
      <c r="E2" s="869"/>
      <c r="F2" s="869"/>
      <c r="G2" s="869"/>
      <c r="H2" s="870"/>
      <c r="I2" s="852" t="s">
        <v>164</v>
      </c>
      <c r="J2" s="852" t="s">
        <v>129</v>
      </c>
      <c r="K2" s="851" t="s">
        <v>225</v>
      </c>
      <c r="L2" s="852" t="s">
        <v>130</v>
      </c>
      <c r="M2" s="853" t="s">
        <v>122</v>
      </c>
      <c r="N2" s="853"/>
      <c r="O2" s="887" t="s">
        <v>95</v>
      </c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96"/>
      <c r="AE2" s="96"/>
      <c r="AF2" s="96"/>
      <c r="AG2" s="96"/>
      <c r="AH2" s="96"/>
      <c r="AI2" s="96"/>
      <c r="AJ2" s="878" t="s">
        <v>143</v>
      </c>
      <c r="AK2" s="870" t="s">
        <v>5</v>
      </c>
      <c r="AL2" s="851" t="s">
        <v>229</v>
      </c>
      <c r="AM2" s="851" t="s">
        <v>132</v>
      </c>
      <c r="AN2" s="862" t="s">
        <v>133</v>
      </c>
      <c r="AO2" s="878" t="s">
        <v>155</v>
      </c>
      <c r="AP2" s="863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</row>
    <row r="3" spans="1:107" s="17" customFormat="1" ht="21.75" customHeight="1">
      <c r="A3" s="876"/>
      <c r="B3" s="876"/>
      <c r="C3" s="852"/>
      <c r="D3" s="851" t="s">
        <v>5</v>
      </c>
      <c r="E3" s="851" t="s">
        <v>225</v>
      </c>
      <c r="F3" s="851" t="s">
        <v>154</v>
      </c>
      <c r="G3" s="851" t="s">
        <v>120</v>
      </c>
      <c r="H3" s="871" t="s">
        <v>167</v>
      </c>
      <c r="I3" s="852"/>
      <c r="J3" s="852"/>
      <c r="K3" s="852"/>
      <c r="L3" s="852"/>
      <c r="M3" s="871"/>
      <c r="N3" s="871"/>
      <c r="O3" s="878" t="s">
        <v>13</v>
      </c>
      <c r="P3" s="878"/>
      <c r="Q3" s="878"/>
      <c r="R3" s="878"/>
      <c r="S3" s="878"/>
      <c r="T3" s="878"/>
      <c r="U3" s="878"/>
      <c r="V3" s="878"/>
      <c r="W3" s="878"/>
      <c r="X3" s="866" t="s">
        <v>123</v>
      </c>
      <c r="Y3" s="866"/>
      <c r="Z3" s="867"/>
      <c r="AA3" s="865" t="s">
        <v>98</v>
      </c>
      <c r="AB3" s="866"/>
      <c r="AC3" s="866"/>
      <c r="AD3" s="866"/>
      <c r="AE3" s="866"/>
      <c r="AF3" s="866"/>
      <c r="AG3" s="866"/>
      <c r="AH3" s="866"/>
      <c r="AI3" s="867"/>
      <c r="AJ3" s="878"/>
      <c r="AK3" s="885"/>
      <c r="AL3" s="852"/>
      <c r="AM3" s="852"/>
      <c r="AN3" s="863"/>
      <c r="AO3" s="878"/>
      <c r="AP3" s="863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</row>
    <row r="4" spans="1:107" s="17" customFormat="1" ht="18.75" customHeight="1">
      <c r="A4" s="876"/>
      <c r="B4" s="876"/>
      <c r="C4" s="852"/>
      <c r="D4" s="852"/>
      <c r="E4" s="852"/>
      <c r="F4" s="852"/>
      <c r="G4" s="852"/>
      <c r="H4" s="871"/>
      <c r="I4" s="852"/>
      <c r="J4" s="852"/>
      <c r="K4" s="852"/>
      <c r="L4" s="852"/>
      <c r="M4" s="851" t="s">
        <v>124</v>
      </c>
      <c r="N4" s="851" t="s">
        <v>125</v>
      </c>
      <c r="O4" s="851" t="s">
        <v>96</v>
      </c>
      <c r="P4" s="857" t="s">
        <v>99</v>
      </c>
      <c r="Q4" s="857" t="s">
        <v>145</v>
      </c>
      <c r="R4" s="854" t="s">
        <v>95</v>
      </c>
      <c r="S4" s="855"/>
      <c r="T4" s="855"/>
      <c r="U4" s="855"/>
      <c r="V4" s="855"/>
      <c r="W4" s="856"/>
      <c r="X4" s="862" t="s">
        <v>124</v>
      </c>
      <c r="Y4" s="862" t="s">
        <v>125</v>
      </c>
      <c r="Z4" s="862" t="s">
        <v>144</v>
      </c>
      <c r="AA4" s="882" t="s">
        <v>96</v>
      </c>
      <c r="AB4" s="882" t="s">
        <v>97</v>
      </c>
      <c r="AC4" s="879" t="s">
        <v>146</v>
      </c>
      <c r="AD4" s="854" t="s">
        <v>95</v>
      </c>
      <c r="AE4" s="855"/>
      <c r="AF4" s="855"/>
      <c r="AG4" s="855"/>
      <c r="AH4" s="855"/>
      <c r="AI4" s="856"/>
      <c r="AJ4" s="878"/>
      <c r="AK4" s="885"/>
      <c r="AL4" s="852"/>
      <c r="AM4" s="852"/>
      <c r="AN4" s="863"/>
      <c r="AO4" s="878"/>
      <c r="AP4" s="863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</row>
    <row r="5" spans="1:42" ht="19.5" customHeight="1">
      <c r="A5" s="876"/>
      <c r="B5" s="876"/>
      <c r="C5" s="852"/>
      <c r="D5" s="852"/>
      <c r="E5" s="852"/>
      <c r="F5" s="852"/>
      <c r="G5" s="852"/>
      <c r="H5" s="871"/>
      <c r="I5" s="852"/>
      <c r="J5" s="852"/>
      <c r="K5" s="852"/>
      <c r="L5" s="852"/>
      <c r="M5" s="852"/>
      <c r="N5" s="852"/>
      <c r="O5" s="852"/>
      <c r="P5" s="881"/>
      <c r="Q5" s="881"/>
      <c r="R5" s="857" t="s">
        <v>127</v>
      </c>
      <c r="S5" s="859" t="s">
        <v>14</v>
      </c>
      <c r="T5" s="860"/>
      <c r="U5" s="861" t="s">
        <v>306</v>
      </c>
      <c r="V5" s="861"/>
      <c r="W5" s="861"/>
      <c r="X5" s="863"/>
      <c r="Y5" s="863"/>
      <c r="Z5" s="863"/>
      <c r="AA5" s="882"/>
      <c r="AB5" s="882"/>
      <c r="AC5" s="879"/>
      <c r="AD5" s="857" t="s">
        <v>127</v>
      </c>
      <c r="AE5" s="859" t="s">
        <v>14</v>
      </c>
      <c r="AF5" s="860"/>
      <c r="AG5" s="861" t="s">
        <v>306</v>
      </c>
      <c r="AH5" s="861"/>
      <c r="AI5" s="861"/>
      <c r="AJ5" s="878"/>
      <c r="AK5" s="885"/>
      <c r="AL5" s="852"/>
      <c r="AM5" s="852"/>
      <c r="AN5" s="863"/>
      <c r="AO5" s="878"/>
      <c r="AP5" s="863"/>
    </row>
    <row r="6" spans="1:42" ht="32.25" customHeight="1">
      <c r="A6" s="877"/>
      <c r="B6" s="877"/>
      <c r="C6" s="853"/>
      <c r="D6" s="853"/>
      <c r="E6" s="853"/>
      <c r="F6" s="853"/>
      <c r="G6" s="853"/>
      <c r="H6" s="871"/>
      <c r="I6" s="853"/>
      <c r="J6" s="853"/>
      <c r="K6" s="853"/>
      <c r="L6" s="853"/>
      <c r="M6" s="853"/>
      <c r="N6" s="853"/>
      <c r="O6" s="853"/>
      <c r="P6" s="858"/>
      <c r="Q6" s="858"/>
      <c r="R6" s="858"/>
      <c r="S6" s="49" t="s">
        <v>124</v>
      </c>
      <c r="T6" s="18" t="s">
        <v>125</v>
      </c>
      <c r="U6" s="19" t="s">
        <v>126</v>
      </c>
      <c r="V6" s="19" t="s">
        <v>125</v>
      </c>
      <c r="W6" s="19" t="s">
        <v>305</v>
      </c>
      <c r="X6" s="864"/>
      <c r="Y6" s="864"/>
      <c r="Z6" s="864"/>
      <c r="AA6" s="883"/>
      <c r="AB6" s="883"/>
      <c r="AC6" s="880"/>
      <c r="AD6" s="858"/>
      <c r="AE6" s="49" t="s">
        <v>124</v>
      </c>
      <c r="AF6" s="18" t="s">
        <v>125</v>
      </c>
      <c r="AG6" s="19" t="s">
        <v>126</v>
      </c>
      <c r="AH6" s="19" t="s">
        <v>125</v>
      </c>
      <c r="AI6" s="19" t="s">
        <v>305</v>
      </c>
      <c r="AJ6" s="878"/>
      <c r="AK6" s="886"/>
      <c r="AL6" s="853"/>
      <c r="AM6" s="853"/>
      <c r="AN6" s="864"/>
      <c r="AO6" s="878"/>
      <c r="AP6" s="864"/>
    </row>
    <row r="7" spans="1:46" s="21" customFormat="1" ht="13.5" customHeight="1">
      <c r="A7" s="80" t="s">
        <v>9</v>
      </c>
      <c r="B7" s="80" t="s">
        <v>10</v>
      </c>
      <c r="C7" s="81" t="s">
        <v>157</v>
      </c>
      <c r="D7" s="81" t="s">
        <v>100</v>
      </c>
      <c r="E7" s="81" t="s">
        <v>101</v>
      </c>
      <c r="F7" s="81" t="s">
        <v>102</v>
      </c>
      <c r="G7" s="81" t="s">
        <v>103</v>
      </c>
      <c r="H7" s="81" t="s">
        <v>230</v>
      </c>
      <c r="I7" s="81" t="s">
        <v>134</v>
      </c>
      <c r="J7" s="81" t="s">
        <v>135</v>
      </c>
      <c r="K7" s="81" t="s">
        <v>231</v>
      </c>
      <c r="L7" s="81" t="s">
        <v>232</v>
      </c>
      <c r="M7" s="81" t="s">
        <v>235</v>
      </c>
      <c r="N7" s="81" t="s">
        <v>236</v>
      </c>
      <c r="O7" s="81" t="s">
        <v>237</v>
      </c>
      <c r="P7" s="82" t="s">
        <v>238</v>
      </c>
      <c r="Q7" s="82" t="s">
        <v>136</v>
      </c>
      <c r="R7" s="82" t="s">
        <v>137</v>
      </c>
      <c r="S7" s="82" t="s">
        <v>138</v>
      </c>
      <c r="T7" s="82" t="s">
        <v>139</v>
      </c>
      <c r="U7" s="82" t="s">
        <v>140</v>
      </c>
      <c r="V7" s="82" t="s">
        <v>141</v>
      </c>
      <c r="W7" s="82" t="s">
        <v>142</v>
      </c>
      <c r="X7" s="82" t="s">
        <v>158</v>
      </c>
      <c r="Y7" s="82" t="s">
        <v>159</v>
      </c>
      <c r="Z7" s="82" t="s">
        <v>160</v>
      </c>
      <c r="AA7" s="82" t="s">
        <v>239</v>
      </c>
      <c r="AB7" s="82" t="s">
        <v>240</v>
      </c>
      <c r="AC7" s="82" t="s">
        <v>218</v>
      </c>
      <c r="AD7" s="83" t="s">
        <v>219</v>
      </c>
      <c r="AE7" s="83" t="s">
        <v>220</v>
      </c>
      <c r="AF7" s="83" t="s">
        <v>221</v>
      </c>
      <c r="AG7" s="83" t="s">
        <v>222</v>
      </c>
      <c r="AH7" s="83" t="s">
        <v>223</v>
      </c>
      <c r="AI7" s="83" t="s">
        <v>224</v>
      </c>
      <c r="AJ7" s="83" t="s">
        <v>233</v>
      </c>
      <c r="AK7" s="82" t="s">
        <v>234</v>
      </c>
      <c r="AL7" s="82" t="s">
        <v>241</v>
      </c>
      <c r="AM7" s="80" t="s">
        <v>242</v>
      </c>
      <c r="AN7" s="80" t="s">
        <v>243</v>
      </c>
      <c r="AO7" s="80" t="s">
        <v>244</v>
      </c>
      <c r="AP7" s="80" t="s">
        <v>245</v>
      </c>
      <c r="AT7" s="22"/>
    </row>
    <row r="8" spans="1:107" s="17" customFormat="1" ht="17.25" customHeight="1">
      <c r="A8" s="23" t="s">
        <v>105</v>
      </c>
      <c r="B8" s="24" t="s">
        <v>61</v>
      </c>
      <c r="C8" s="50">
        <f>SUM(C9:C12)</f>
        <v>322203050.7</v>
      </c>
      <c r="D8" s="50">
        <f>SUM(D9:D12)</f>
        <v>15954843.2</v>
      </c>
      <c r="E8" s="50">
        <f aca="true" t="shared" si="0" ref="E8:L8">SUM(E9:E12)</f>
        <v>11523000</v>
      </c>
      <c r="F8" s="50">
        <f t="shared" si="0"/>
        <v>8726748</v>
      </c>
      <c r="G8" s="50">
        <f>SUM(G9:G12)</f>
        <v>266296847.5</v>
      </c>
      <c r="H8" s="50">
        <f t="shared" si="0"/>
        <v>19701612</v>
      </c>
      <c r="I8" s="50">
        <f t="shared" si="0"/>
        <v>258776767</v>
      </c>
      <c r="J8" s="50">
        <f t="shared" si="0"/>
        <v>7248334</v>
      </c>
      <c r="K8" s="50">
        <f t="shared" si="0"/>
        <v>78000</v>
      </c>
      <c r="L8" s="50">
        <f t="shared" si="0"/>
        <v>0</v>
      </c>
      <c r="M8" s="158">
        <f>SUM(M9:M12)</f>
        <v>251450433</v>
      </c>
      <c r="N8" s="158">
        <f aca="true" t="shared" si="1" ref="N8:AO8">SUM(N9:N12)</f>
        <v>912794</v>
      </c>
      <c r="O8" s="158">
        <f>SUM(O9:O12)</f>
        <v>11258672</v>
      </c>
      <c r="P8" s="158">
        <f t="shared" si="1"/>
        <v>49652</v>
      </c>
      <c r="Q8" s="158">
        <f>SUM(Q9:Q12)</f>
        <v>49</v>
      </c>
      <c r="R8" s="158">
        <f t="shared" si="1"/>
        <v>824438</v>
      </c>
      <c r="S8" s="158">
        <f t="shared" si="1"/>
        <v>3014298</v>
      </c>
      <c r="T8" s="158">
        <f t="shared" si="1"/>
        <v>9780</v>
      </c>
      <c r="U8" s="158">
        <f t="shared" si="1"/>
        <v>7419936</v>
      </c>
      <c r="V8" s="158">
        <f>SUM(V9:V12)</f>
        <v>39872</v>
      </c>
      <c r="W8" s="158">
        <f t="shared" si="1"/>
        <v>163</v>
      </c>
      <c r="X8" s="158">
        <f>SUM(X9:X12)</f>
        <v>86961505</v>
      </c>
      <c r="Y8" s="158">
        <f t="shared" si="1"/>
        <v>427905</v>
      </c>
      <c r="Z8" s="158">
        <f>SUM(Z9:Z12)</f>
        <v>55225</v>
      </c>
      <c r="AA8" s="158">
        <f>SUM(AA9:AA12)</f>
        <v>153230256</v>
      </c>
      <c r="AB8" s="158">
        <f t="shared" si="1"/>
        <v>435237</v>
      </c>
      <c r="AC8" s="158">
        <f t="shared" si="1"/>
        <v>11</v>
      </c>
      <c r="AD8" s="158">
        <f t="shared" si="1"/>
        <v>10399626</v>
      </c>
      <c r="AE8" s="158">
        <f t="shared" si="1"/>
        <v>0</v>
      </c>
      <c r="AF8" s="158">
        <f t="shared" si="1"/>
        <v>0</v>
      </c>
      <c r="AG8" s="158">
        <f t="shared" si="1"/>
        <v>142830630</v>
      </c>
      <c r="AH8" s="158">
        <f t="shared" si="1"/>
        <v>435237</v>
      </c>
      <c r="AI8" s="158">
        <f t="shared" si="1"/>
        <v>57277</v>
      </c>
      <c r="AJ8" s="158">
        <f t="shared" si="1"/>
        <v>63426283.7</v>
      </c>
      <c r="AK8" s="158">
        <f t="shared" si="1"/>
        <v>8706509.2</v>
      </c>
      <c r="AL8" s="158">
        <f t="shared" si="1"/>
        <v>11445000</v>
      </c>
      <c r="AM8" s="158">
        <f t="shared" si="1"/>
        <v>8726748</v>
      </c>
      <c r="AN8" s="158">
        <f t="shared" si="1"/>
        <v>14846414.500000004</v>
      </c>
      <c r="AO8" s="158">
        <f t="shared" si="1"/>
        <v>19701612</v>
      </c>
      <c r="AP8" s="157">
        <f aca="true" t="shared" si="2" ref="AP8:AP43">M8/G8</f>
        <v>0.9442486284033085</v>
      </c>
      <c r="AQ8" s="159">
        <f>C8-I8-AJ8</f>
        <v>0</v>
      </c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</row>
    <row r="9" spans="1:107" s="199" customFormat="1" ht="15" customHeight="1">
      <c r="A9" s="41">
        <v>1</v>
      </c>
      <c r="B9" s="42" t="s">
        <v>68</v>
      </c>
      <c r="C9" s="193">
        <f>SUM(D9:H9)</f>
        <v>97863485.7</v>
      </c>
      <c r="D9" s="193">
        <f>9688903</f>
        <v>9688903</v>
      </c>
      <c r="E9" s="193"/>
      <c r="F9" s="193"/>
      <c r="G9" s="193">
        <f>96889033*90%</f>
        <v>87200129.7</v>
      </c>
      <c r="H9" s="193">
        <v>974453</v>
      </c>
      <c r="I9" s="193">
        <f>SUM(J9:M9)</f>
        <v>94066350</v>
      </c>
      <c r="J9" s="193">
        <v>3299878</v>
      </c>
      <c r="K9" s="193"/>
      <c r="L9" s="193"/>
      <c r="M9" s="193">
        <f>O9+X9+AA9</f>
        <v>90766472</v>
      </c>
      <c r="N9" s="193">
        <f>P9+Y9+AB9</f>
        <v>416272</v>
      </c>
      <c r="O9" s="193">
        <f>R9+S9+U9</f>
        <v>7558316</v>
      </c>
      <c r="P9" s="193">
        <f>T9+V9</f>
        <v>34761</v>
      </c>
      <c r="Q9" s="193">
        <v>34</v>
      </c>
      <c r="R9" s="193">
        <v>755832</v>
      </c>
      <c r="S9" s="193"/>
      <c r="T9" s="193"/>
      <c r="U9" s="193">
        <v>6802484</v>
      </c>
      <c r="V9" s="193">
        <v>34761</v>
      </c>
      <c r="W9" s="193"/>
      <c r="X9" s="193">
        <v>79371900</v>
      </c>
      <c r="Y9" s="193">
        <v>363994</v>
      </c>
      <c r="Z9" s="193">
        <v>37451</v>
      </c>
      <c r="AA9" s="193">
        <f>AD9+AG9</f>
        <v>3836256</v>
      </c>
      <c r="AB9" s="193">
        <f>AF9+AH9</f>
        <v>17517</v>
      </c>
      <c r="AC9" s="193">
        <v>1</v>
      </c>
      <c r="AD9" s="193">
        <v>383626</v>
      </c>
      <c r="AE9" s="193"/>
      <c r="AF9" s="193"/>
      <c r="AG9" s="193">
        <v>3452630</v>
      </c>
      <c r="AH9" s="193">
        <v>17517</v>
      </c>
      <c r="AI9" s="193"/>
      <c r="AJ9" s="193">
        <f>SUM(AK9:AO9)</f>
        <v>3797135.700000003</v>
      </c>
      <c r="AK9" s="193">
        <f>D9-J9</f>
        <v>6389025</v>
      </c>
      <c r="AL9" s="193">
        <f>E9-K9</f>
        <v>0</v>
      </c>
      <c r="AM9" s="193">
        <f>F9-L9</f>
        <v>0</v>
      </c>
      <c r="AN9" s="193">
        <f>G9-M9</f>
        <v>-3566342.299999997</v>
      </c>
      <c r="AO9" s="193">
        <f>H9</f>
        <v>974453</v>
      </c>
      <c r="AP9" s="235">
        <f t="shared" si="2"/>
        <v>1.0408983600399393</v>
      </c>
      <c r="AQ9" s="251">
        <f aca="true" t="shared" si="3" ref="AQ9:AQ44">C9-I9-AJ9</f>
        <v>0</v>
      </c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</row>
    <row r="10" spans="1:107" s="203" customFormat="1" ht="17.25" customHeight="1">
      <c r="A10" s="43">
        <f>A9+1</f>
        <v>2</v>
      </c>
      <c r="B10" s="44" t="s">
        <v>106</v>
      </c>
      <c r="C10" s="200">
        <f aca="true" t="shared" si="4" ref="C10:C43">SUM(D10:H10)</f>
        <v>208081000</v>
      </c>
      <c r="D10" s="200">
        <v>4903000</v>
      </c>
      <c r="E10" s="200">
        <v>11523000</v>
      </c>
      <c r="F10" s="200">
        <v>8213000</v>
      </c>
      <c r="G10" s="200">
        <v>167344000</v>
      </c>
      <c r="H10" s="200">
        <f>208081000-191983000</f>
        <v>16098000</v>
      </c>
      <c r="I10" s="200">
        <f aca="true" t="shared" si="5" ref="I10:I43">SUM(J10:M10)</f>
        <v>155195000</v>
      </c>
      <c r="J10" s="200">
        <v>3143000</v>
      </c>
      <c r="K10" s="200">
        <v>78000</v>
      </c>
      <c r="L10" s="200"/>
      <c r="M10" s="200">
        <f aca="true" t="shared" si="6" ref="M10:M43">O10+X10+AA10</f>
        <v>151974000</v>
      </c>
      <c r="N10" s="200">
        <f aca="true" t="shared" si="7" ref="N10:N43">P10+Y10+AB10</f>
        <v>422719</v>
      </c>
      <c r="O10" s="200">
        <f aca="true" t="shared" si="8" ref="O10:O43">R10+S10+U10</f>
        <v>2450000</v>
      </c>
      <c r="P10" s="200">
        <f aca="true" t="shared" si="9" ref="P10:P43">T10+V10</f>
        <v>4632</v>
      </c>
      <c r="Q10" s="200">
        <v>9</v>
      </c>
      <c r="R10" s="200"/>
      <c r="S10" s="200">
        <v>2450000</v>
      </c>
      <c r="T10" s="200">
        <v>4632</v>
      </c>
      <c r="U10" s="200"/>
      <c r="V10" s="200"/>
      <c r="W10" s="200"/>
      <c r="X10" s="200">
        <v>130000</v>
      </c>
      <c r="Y10" s="200">
        <v>367</v>
      </c>
      <c r="Z10" s="200">
        <v>189</v>
      </c>
      <c r="AA10" s="200">
        <f aca="true" t="shared" si="10" ref="AA10:AA43">AD10+AG10</f>
        <v>149394000</v>
      </c>
      <c r="AB10" s="200">
        <f aca="true" t="shared" si="11" ref="AB10:AB43">AF10+AH10</f>
        <v>417720</v>
      </c>
      <c r="AC10" s="200">
        <v>10</v>
      </c>
      <c r="AD10" s="200">
        <v>10016000</v>
      </c>
      <c r="AE10" s="200"/>
      <c r="AF10" s="200"/>
      <c r="AG10" s="200">
        <v>139378000</v>
      </c>
      <c r="AH10" s="200">
        <v>417720</v>
      </c>
      <c r="AI10" s="200">
        <v>57277</v>
      </c>
      <c r="AJ10" s="200">
        <f>SUM(AK10:AO10)</f>
        <v>52886000</v>
      </c>
      <c r="AK10" s="200">
        <f aca="true" t="shared" si="12" ref="AK10:AK43">D10-J10</f>
        <v>1760000</v>
      </c>
      <c r="AL10" s="200">
        <f>E10-K10</f>
        <v>11445000</v>
      </c>
      <c r="AM10" s="200">
        <f>F10-L10</f>
        <v>8213000</v>
      </c>
      <c r="AN10" s="200">
        <f>G10-M10</f>
        <v>15370000</v>
      </c>
      <c r="AO10" s="200">
        <f aca="true" t="shared" si="13" ref="AO10:AO43">H10</f>
        <v>16098000</v>
      </c>
      <c r="AP10" s="201">
        <f t="shared" si="2"/>
        <v>0.9081532651305096</v>
      </c>
      <c r="AQ10" s="251">
        <f t="shared" si="3"/>
        <v>0</v>
      </c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</row>
    <row r="11" spans="1:107" s="44" customFormat="1" ht="17.25" customHeight="1">
      <c r="A11" s="43">
        <f>A10+1</f>
        <v>3</v>
      </c>
      <c r="B11" s="44" t="s">
        <v>67</v>
      </c>
      <c r="C11" s="200">
        <f t="shared" si="4"/>
        <v>3354452.0000000005</v>
      </c>
      <c r="D11" s="254">
        <f>3354452*10%</f>
        <v>335445.2</v>
      </c>
      <c r="E11" s="254"/>
      <c r="F11" s="254"/>
      <c r="G11" s="254">
        <f>3354452*90%</f>
        <v>3019006.8000000003</v>
      </c>
      <c r="H11" s="254"/>
      <c r="I11" s="204">
        <f t="shared" si="5"/>
        <v>0</v>
      </c>
      <c r="J11" s="204">
        <v>0</v>
      </c>
      <c r="K11" s="204"/>
      <c r="L11" s="204"/>
      <c r="M11" s="204">
        <f t="shared" si="6"/>
        <v>0</v>
      </c>
      <c r="N11" s="204">
        <f t="shared" si="7"/>
        <v>0</v>
      </c>
      <c r="O11" s="204">
        <f t="shared" si="8"/>
        <v>0</v>
      </c>
      <c r="P11" s="204">
        <f t="shared" si="9"/>
        <v>0</v>
      </c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>
        <f t="shared" si="10"/>
        <v>0</v>
      </c>
      <c r="AB11" s="204">
        <f t="shared" si="11"/>
        <v>0</v>
      </c>
      <c r="AC11" s="204"/>
      <c r="AD11" s="204"/>
      <c r="AE11" s="204"/>
      <c r="AF11" s="204"/>
      <c r="AG11" s="204"/>
      <c r="AH11" s="204"/>
      <c r="AI11" s="204"/>
      <c r="AJ11" s="200">
        <f>SUM(AK11:AO11)</f>
        <v>3354452.0000000005</v>
      </c>
      <c r="AK11" s="204">
        <f>D11-J11</f>
        <v>335445.2</v>
      </c>
      <c r="AL11" s="204">
        <f aca="true" t="shared" si="14" ref="AL11:AL43">E11-K11</f>
        <v>0</v>
      </c>
      <c r="AM11" s="204">
        <f aca="true" t="shared" si="15" ref="AM11:AM43">F11-L11</f>
        <v>0</v>
      </c>
      <c r="AN11" s="204">
        <f aca="true" t="shared" si="16" ref="AN11:AN43">G11-M11</f>
        <v>3019006.8000000003</v>
      </c>
      <c r="AO11" s="204">
        <f t="shared" si="13"/>
        <v>0</v>
      </c>
      <c r="AP11" s="205">
        <f t="shared" si="2"/>
        <v>0</v>
      </c>
      <c r="AQ11" s="251">
        <f t="shared" si="3"/>
        <v>0</v>
      </c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</row>
    <row r="12" spans="1:107" s="227" customFormat="1" ht="17.25" customHeight="1">
      <c r="A12" s="76">
        <f>A11+1</f>
        <v>4</v>
      </c>
      <c r="B12" s="77" t="s">
        <v>70</v>
      </c>
      <c r="C12" s="225">
        <f t="shared" si="4"/>
        <v>12904113</v>
      </c>
      <c r="D12" s="225">
        <v>1027495</v>
      </c>
      <c r="E12" s="225"/>
      <c r="F12" s="225">
        <v>513748</v>
      </c>
      <c r="G12" s="225">
        <v>8733711</v>
      </c>
      <c r="H12" s="225">
        <v>2629159</v>
      </c>
      <c r="I12" s="225">
        <f t="shared" si="5"/>
        <v>9515417</v>
      </c>
      <c r="J12" s="225">
        <f>273681+531775</f>
        <v>805456</v>
      </c>
      <c r="K12" s="225"/>
      <c r="L12" s="225"/>
      <c r="M12" s="225">
        <f t="shared" si="6"/>
        <v>8709961</v>
      </c>
      <c r="N12" s="225">
        <f t="shared" si="7"/>
        <v>73803</v>
      </c>
      <c r="O12" s="225">
        <f t="shared" si="8"/>
        <v>1250356</v>
      </c>
      <c r="P12" s="225">
        <f t="shared" si="9"/>
        <v>10259</v>
      </c>
      <c r="Q12" s="225">
        <v>6</v>
      </c>
      <c r="R12" s="225">
        <v>68606</v>
      </c>
      <c r="S12" s="225">
        <v>564298</v>
      </c>
      <c r="T12" s="225">
        <v>5148</v>
      </c>
      <c r="U12" s="225">
        <v>617452</v>
      </c>
      <c r="V12" s="225">
        <v>5111</v>
      </c>
      <c r="W12" s="225">
        <v>163</v>
      </c>
      <c r="X12" s="225">
        <v>7459605</v>
      </c>
      <c r="Y12" s="225">
        <v>63544</v>
      </c>
      <c r="Z12" s="225">
        <v>17585</v>
      </c>
      <c r="AA12" s="225">
        <f t="shared" si="10"/>
        <v>0</v>
      </c>
      <c r="AB12" s="225">
        <f t="shared" si="11"/>
        <v>0</v>
      </c>
      <c r="AC12" s="225"/>
      <c r="AD12" s="225"/>
      <c r="AE12" s="225"/>
      <c r="AF12" s="225"/>
      <c r="AG12" s="225"/>
      <c r="AH12" s="225"/>
      <c r="AI12" s="225"/>
      <c r="AJ12" s="225">
        <f>SUM(AK12:AO12)</f>
        <v>3388696</v>
      </c>
      <c r="AK12" s="225">
        <f t="shared" si="12"/>
        <v>222039</v>
      </c>
      <c r="AL12" s="225">
        <f t="shared" si="14"/>
        <v>0</v>
      </c>
      <c r="AM12" s="225">
        <f t="shared" si="15"/>
        <v>513748</v>
      </c>
      <c r="AN12" s="225">
        <f t="shared" si="16"/>
        <v>23750</v>
      </c>
      <c r="AO12" s="225">
        <f t="shared" si="13"/>
        <v>2629159</v>
      </c>
      <c r="AP12" s="226">
        <f t="shared" si="2"/>
        <v>0.9972806519473796</v>
      </c>
      <c r="AQ12" s="251">
        <f t="shared" si="3"/>
        <v>0</v>
      </c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</row>
    <row r="13" spans="1:107" s="234" customFormat="1" ht="17.25" customHeight="1">
      <c r="A13" s="228" t="s">
        <v>107</v>
      </c>
      <c r="B13" s="229" t="s">
        <v>62</v>
      </c>
      <c r="C13" s="230">
        <f>SUM(C14:C20)</f>
        <v>114002770</v>
      </c>
      <c r="D13" s="230">
        <f>SUM(D14:D20)</f>
        <v>11748028.4</v>
      </c>
      <c r="E13" s="230">
        <f aca="true" t="shared" si="17" ref="E13:AO13">SUM(E14:E20)</f>
        <v>1057019</v>
      </c>
      <c r="F13" s="230">
        <f>SUM(F14:F20)</f>
        <v>5531351.8</v>
      </c>
      <c r="G13" s="230">
        <f>SUM(G14:G20)</f>
        <v>94156234.8</v>
      </c>
      <c r="H13" s="230">
        <f t="shared" si="17"/>
        <v>1510136</v>
      </c>
      <c r="I13" s="230">
        <f t="shared" si="17"/>
        <v>74132048</v>
      </c>
      <c r="J13" s="230">
        <f t="shared" si="17"/>
        <v>6756794</v>
      </c>
      <c r="K13" s="230">
        <f>SUM(K14:K20)</f>
        <v>94000</v>
      </c>
      <c r="L13" s="230">
        <f t="shared" si="17"/>
        <v>0</v>
      </c>
      <c r="M13" s="230">
        <f>SUM(M14:M20)</f>
        <v>67281254</v>
      </c>
      <c r="N13" s="230">
        <f t="shared" si="17"/>
        <v>540892</v>
      </c>
      <c r="O13" s="230">
        <f>SUM(O14:O20)</f>
        <v>32497947</v>
      </c>
      <c r="P13" s="230">
        <f>SUM(P14:P20)</f>
        <v>191932</v>
      </c>
      <c r="Q13" s="230">
        <f>SUM(Q14:Q20)</f>
        <v>27</v>
      </c>
      <c r="R13" s="230">
        <f>SUM(R14:R20)</f>
        <v>2832415</v>
      </c>
      <c r="S13" s="230">
        <f t="shared" si="17"/>
        <v>0</v>
      </c>
      <c r="T13" s="230">
        <f t="shared" si="17"/>
        <v>0</v>
      </c>
      <c r="U13" s="230">
        <f t="shared" si="17"/>
        <v>25491740</v>
      </c>
      <c r="V13" s="230">
        <f t="shared" si="17"/>
        <v>133898</v>
      </c>
      <c r="W13" s="230">
        <f t="shared" si="17"/>
        <v>16828</v>
      </c>
      <c r="X13" s="230">
        <f>SUM(X14:X20)</f>
        <v>9719547</v>
      </c>
      <c r="Y13" s="230">
        <f t="shared" si="17"/>
        <v>115704</v>
      </c>
      <c r="Z13" s="230">
        <f t="shared" si="17"/>
        <v>50392</v>
      </c>
      <c r="AA13" s="230">
        <f>SUM(AA14:AA20)</f>
        <v>25063760</v>
      </c>
      <c r="AB13" s="230">
        <f t="shared" si="17"/>
        <v>233256</v>
      </c>
      <c r="AC13" s="230">
        <f t="shared" si="17"/>
        <v>51</v>
      </c>
      <c r="AD13" s="230">
        <f t="shared" si="17"/>
        <v>2456426</v>
      </c>
      <c r="AE13" s="230">
        <f t="shared" si="17"/>
        <v>0</v>
      </c>
      <c r="AF13" s="230">
        <f t="shared" si="17"/>
        <v>0</v>
      </c>
      <c r="AG13" s="230">
        <f t="shared" si="17"/>
        <v>22238532</v>
      </c>
      <c r="AH13" s="230">
        <f t="shared" si="17"/>
        <v>211501</v>
      </c>
      <c r="AI13" s="230">
        <f>SUM(AI14:AI20)</f>
        <v>78043</v>
      </c>
      <c r="AJ13" s="230">
        <f t="shared" si="17"/>
        <v>39870722</v>
      </c>
      <c r="AK13" s="230">
        <f t="shared" si="17"/>
        <v>4991234.4</v>
      </c>
      <c r="AL13" s="230">
        <f t="shared" si="17"/>
        <v>963019</v>
      </c>
      <c r="AM13" s="230">
        <f t="shared" si="17"/>
        <v>5531351.8</v>
      </c>
      <c r="AN13" s="230">
        <f t="shared" si="17"/>
        <v>26874980.799999997</v>
      </c>
      <c r="AO13" s="230">
        <f t="shared" si="17"/>
        <v>1510136</v>
      </c>
      <c r="AP13" s="231"/>
      <c r="AQ13" s="251">
        <f t="shared" si="3"/>
        <v>0</v>
      </c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</row>
    <row r="14" spans="1:107" s="199" customFormat="1" ht="17.25" customHeight="1">
      <c r="A14" s="41">
        <v>5</v>
      </c>
      <c r="B14" s="42" t="s">
        <v>71</v>
      </c>
      <c r="C14" s="193">
        <f t="shared" si="4"/>
        <v>32151261</v>
      </c>
      <c r="D14" s="193">
        <f>32151261*10%</f>
        <v>3215126.1</v>
      </c>
      <c r="E14" s="193"/>
      <c r="F14" s="193">
        <f>D14/2</f>
        <v>1607563.05</v>
      </c>
      <c r="G14" s="193">
        <f>32151261*85%</f>
        <v>27328571.849999998</v>
      </c>
      <c r="H14" s="193"/>
      <c r="I14" s="193">
        <f t="shared" si="5"/>
        <v>31256815</v>
      </c>
      <c r="J14" s="193">
        <v>1794762</v>
      </c>
      <c r="K14" s="193"/>
      <c r="L14" s="193"/>
      <c r="M14" s="193">
        <f t="shared" si="6"/>
        <v>29462053</v>
      </c>
      <c r="N14" s="193">
        <f>P14+Y14+AB14</f>
        <v>188058</v>
      </c>
      <c r="O14" s="193">
        <f t="shared" si="8"/>
        <v>24635206</v>
      </c>
      <c r="P14" s="193">
        <f t="shared" si="9"/>
        <v>103278</v>
      </c>
      <c r="Q14" s="193">
        <v>10</v>
      </c>
      <c r="R14" s="193">
        <v>2463521</v>
      </c>
      <c r="S14" s="193"/>
      <c r="T14" s="193"/>
      <c r="U14" s="193">
        <v>22171685</v>
      </c>
      <c r="V14" s="193">
        <v>103278</v>
      </c>
      <c r="W14" s="193">
        <v>15103</v>
      </c>
      <c r="X14" s="193">
        <v>2002946</v>
      </c>
      <c r="Y14" s="193">
        <v>33220</v>
      </c>
      <c r="Z14" s="193">
        <v>34971</v>
      </c>
      <c r="AA14" s="193">
        <f t="shared" si="10"/>
        <v>2823901</v>
      </c>
      <c r="AB14" s="193">
        <v>51560</v>
      </c>
      <c r="AC14" s="193">
        <v>5</v>
      </c>
      <c r="AD14" s="193">
        <v>282390</v>
      </c>
      <c r="AE14" s="193"/>
      <c r="AF14" s="193"/>
      <c r="AG14" s="193">
        <v>2541511</v>
      </c>
      <c r="AH14" s="193">
        <v>51560</v>
      </c>
      <c r="AI14" s="193">
        <v>2666</v>
      </c>
      <c r="AJ14" s="193">
        <f>SUM(AK14:AO14)</f>
        <v>894445.9999999981</v>
      </c>
      <c r="AK14" s="193">
        <f t="shared" si="12"/>
        <v>1420364.1</v>
      </c>
      <c r="AL14" s="193">
        <f t="shared" si="14"/>
        <v>0</v>
      </c>
      <c r="AM14" s="193">
        <f t="shared" si="15"/>
        <v>1607563.05</v>
      </c>
      <c r="AN14" s="193">
        <f t="shared" si="16"/>
        <v>-2133481.1500000022</v>
      </c>
      <c r="AO14" s="193">
        <f t="shared" si="13"/>
        <v>0</v>
      </c>
      <c r="AP14" s="235">
        <f t="shared" si="2"/>
        <v>1.0780677878708838</v>
      </c>
      <c r="AQ14" s="251">
        <f t="shared" si="3"/>
        <v>1.862645149230957E-09</v>
      </c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</row>
    <row r="15" spans="1:107" s="203" customFormat="1" ht="17.25" customHeight="1">
      <c r="A15" s="43">
        <f aca="true" t="shared" si="18" ref="A15:A20">A14+1</f>
        <v>6</v>
      </c>
      <c r="B15" s="44" t="s">
        <v>72</v>
      </c>
      <c r="C15" s="200">
        <f t="shared" si="4"/>
        <v>18908655</v>
      </c>
      <c r="D15" s="200">
        <v>2241019</v>
      </c>
      <c r="E15" s="200">
        <v>1057019</v>
      </c>
      <c r="F15" s="200">
        <v>927434</v>
      </c>
      <c r="G15" s="200">
        <v>13250262</v>
      </c>
      <c r="H15" s="200">
        <f>18908655-17449538-26196</f>
        <v>1432921</v>
      </c>
      <c r="I15" s="200">
        <f t="shared" si="5"/>
        <v>6973099</v>
      </c>
      <c r="J15" s="200">
        <v>2044835</v>
      </c>
      <c r="K15" s="200">
        <v>94000</v>
      </c>
      <c r="L15" s="200"/>
      <c r="M15" s="200">
        <f t="shared" si="6"/>
        <v>4834264</v>
      </c>
      <c r="N15" s="200">
        <f t="shared" si="7"/>
        <v>97142</v>
      </c>
      <c r="O15" s="200">
        <v>4173792</v>
      </c>
      <c r="P15" s="200">
        <v>58034</v>
      </c>
      <c r="Q15" s="200">
        <v>11</v>
      </c>
      <c r="R15" s="200"/>
      <c r="S15" s="200">
        <v>0</v>
      </c>
      <c r="T15" s="200">
        <v>0</v>
      </c>
      <c r="U15" s="200"/>
      <c r="V15" s="200"/>
      <c r="W15" s="200"/>
      <c r="X15" s="200">
        <v>291670</v>
      </c>
      <c r="Y15" s="200">
        <v>17353</v>
      </c>
      <c r="Z15" s="200">
        <v>10103</v>
      </c>
      <c r="AA15" s="200">
        <v>368802</v>
      </c>
      <c r="AB15" s="200">
        <v>21755</v>
      </c>
      <c r="AC15" s="200">
        <v>46</v>
      </c>
      <c r="AD15" s="200"/>
      <c r="AE15" s="200"/>
      <c r="AF15" s="200"/>
      <c r="AG15" s="200"/>
      <c r="AH15" s="200"/>
      <c r="AI15" s="200"/>
      <c r="AJ15" s="200">
        <f>SUM(AK15:AO15)</f>
        <v>11935556</v>
      </c>
      <c r="AK15" s="200">
        <f>D15-J15</f>
        <v>196184</v>
      </c>
      <c r="AL15" s="200">
        <f t="shared" si="14"/>
        <v>963019</v>
      </c>
      <c r="AM15" s="200">
        <f t="shared" si="15"/>
        <v>927434</v>
      </c>
      <c r="AN15" s="200">
        <f t="shared" si="16"/>
        <v>8415998</v>
      </c>
      <c r="AO15" s="200">
        <f t="shared" si="13"/>
        <v>1432921</v>
      </c>
      <c r="AP15" s="201">
        <f t="shared" si="2"/>
        <v>0.3648428989555074</v>
      </c>
      <c r="AQ15" s="251">
        <f t="shared" si="3"/>
        <v>0</v>
      </c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</row>
    <row r="16" spans="1:107" s="203" customFormat="1" ht="17.25" customHeight="1">
      <c r="A16" s="43">
        <f t="shared" si="18"/>
        <v>7</v>
      </c>
      <c r="B16" s="44" t="s">
        <v>108</v>
      </c>
      <c r="C16" s="200">
        <f>SUM(D16:H16)</f>
        <v>3430375</v>
      </c>
      <c r="D16" s="200">
        <f>3430375*10%</f>
        <v>343037.5</v>
      </c>
      <c r="E16" s="200"/>
      <c r="F16" s="200">
        <f>D16/2</f>
        <v>171518.75</v>
      </c>
      <c r="G16" s="200">
        <f>3430375*85%</f>
        <v>2915818.75</v>
      </c>
      <c r="H16" s="200"/>
      <c r="I16" s="200">
        <f t="shared" si="5"/>
        <v>0</v>
      </c>
      <c r="J16" s="200"/>
      <c r="K16" s="200"/>
      <c r="L16" s="200"/>
      <c r="M16" s="200">
        <f t="shared" si="6"/>
        <v>0</v>
      </c>
      <c r="N16" s="200">
        <f t="shared" si="7"/>
        <v>0</v>
      </c>
      <c r="O16" s="200">
        <f t="shared" si="8"/>
        <v>0</v>
      </c>
      <c r="P16" s="200">
        <f t="shared" si="9"/>
        <v>0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>
        <f t="shared" si="10"/>
        <v>0</v>
      </c>
      <c r="AB16" s="200">
        <f t="shared" si="11"/>
        <v>0</v>
      </c>
      <c r="AC16" s="200"/>
      <c r="AD16" s="200"/>
      <c r="AE16" s="200"/>
      <c r="AF16" s="200"/>
      <c r="AG16" s="200"/>
      <c r="AH16" s="200"/>
      <c r="AI16" s="200"/>
      <c r="AJ16" s="200">
        <f aca="true" t="shared" si="19" ref="AJ16:AJ43">SUM(AK16:AO16)</f>
        <v>3430375</v>
      </c>
      <c r="AK16" s="200">
        <f>D16-J16</f>
        <v>343037.5</v>
      </c>
      <c r="AL16" s="200">
        <f t="shared" si="14"/>
        <v>0</v>
      </c>
      <c r="AM16" s="200">
        <f t="shared" si="15"/>
        <v>171518.75</v>
      </c>
      <c r="AN16" s="200">
        <f t="shared" si="16"/>
        <v>2915818.75</v>
      </c>
      <c r="AO16" s="200">
        <f t="shared" si="13"/>
        <v>0</v>
      </c>
      <c r="AP16" s="201">
        <f t="shared" si="2"/>
        <v>0</v>
      </c>
      <c r="AQ16" s="251">
        <f t="shared" si="3"/>
        <v>0</v>
      </c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</row>
    <row r="17" spans="1:107" s="203" customFormat="1" ht="17.25" customHeight="1">
      <c r="A17" s="43">
        <f t="shared" si="18"/>
        <v>8</v>
      </c>
      <c r="B17" s="44" t="s">
        <v>73</v>
      </c>
      <c r="C17" s="200">
        <f t="shared" si="4"/>
        <v>31576758</v>
      </c>
      <c r="D17" s="200">
        <f>31576758*10%</f>
        <v>3157675.8000000003</v>
      </c>
      <c r="E17" s="200"/>
      <c r="F17" s="200">
        <f>1115603+314397</f>
        <v>1430000</v>
      </c>
      <c r="G17" s="200">
        <f>31576758-D17-F17</f>
        <v>26989082.2</v>
      </c>
      <c r="H17" s="200">
        <v>0</v>
      </c>
      <c r="I17" s="200">
        <f t="shared" si="5"/>
        <v>28366238</v>
      </c>
      <c r="J17" s="200">
        <f>2231207+575025</f>
        <v>2806232</v>
      </c>
      <c r="K17" s="200"/>
      <c r="L17" s="200"/>
      <c r="M17" s="200">
        <f>O17+X17+AA17</f>
        <v>25560006</v>
      </c>
      <c r="N17" s="200">
        <f t="shared" si="7"/>
        <v>190561</v>
      </c>
      <c r="O17" s="200">
        <f>R17+S17+U17</f>
        <v>3688949</v>
      </c>
      <c r="P17" s="200">
        <f t="shared" si="9"/>
        <v>30620</v>
      </c>
      <c r="Q17" s="200">
        <v>6</v>
      </c>
      <c r="R17" s="200">
        <f>214044+154850</f>
        <v>368894</v>
      </c>
      <c r="S17" s="200"/>
      <c r="T17" s="200"/>
      <c r="U17" s="200">
        <f>1926396+1393659</f>
        <v>3320055</v>
      </c>
      <c r="V17" s="200">
        <v>30620</v>
      </c>
      <c r="W17" s="200">
        <v>1725</v>
      </c>
      <c r="X17" s="200"/>
      <c r="Y17" s="200"/>
      <c r="Z17" s="200"/>
      <c r="AA17" s="200">
        <f t="shared" si="10"/>
        <v>21871057</v>
      </c>
      <c r="AB17" s="200">
        <f t="shared" si="11"/>
        <v>159941</v>
      </c>
      <c r="AC17" s="200"/>
      <c r="AD17" s="200">
        <f>1323450+850586</f>
        <v>2174036</v>
      </c>
      <c r="AE17" s="200"/>
      <c r="AF17" s="200"/>
      <c r="AG17" s="200">
        <f>11967521+7729500</f>
        <v>19697021</v>
      </c>
      <c r="AH17" s="200">
        <v>159941</v>
      </c>
      <c r="AI17" s="200">
        <v>75377</v>
      </c>
      <c r="AJ17" s="200">
        <f t="shared" si="19"/>
        <v>3210519.9999999995</v>
      </c>
      <c r="AK17" s="200">
        <f t="shared" si="12"/>
        <v>351443.8000000003</v>
      </c>
      <c r="AL17" s="200">
        <f t="shared" si="14"/>
        <v>0</v>
      </c>
      <c r="AM17" s="200">
        <f t="shared" si="15"/>
        <v>1430000</v>
      </c>
      <c r="AN17" s="200">
        <f t="shared" si="16"/>
        <v>1429076.1999999993</v>
      </c>
      <c r="AO17" s="200">
        <f t="shared" si="13"/>
        <v>0</v>
      </c>
      <c r="AP17" s="201">
        <f t="shared" si="2"/>
        <v>0.9470498407685757</v>
      </c>
      <c r="AQ17" s="251">
        <f t="shared" si="3"/>
        <v>0</v>
      </c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</row>
    <row r="18" spans="1:107" s="203" customFormat="1" ht="17.25" customHeight="1">
      <c r="A18" s="43">
        <f t="shared" si="18"/>
        <v>9</v>
      </c>
      <c r="B18" s="44" t="s">
        <v>75</v>
      </c>
      <c r="C18" s="200">
        <f t="shared" si="4"/>
        <v>14285721</v>
      </c>
      <c r="D18" s="200">
        <v>1426170</v>
      </c>
      <c r="E18" s="200"/>
      <c r="F18" s="200">
        <v>712336</v>
      </c>
      <c r="G18" s="200">
        <v>12070000</v>
      </c>
      <c r="H18" s="200">
        <v>77215</v>
      </c>
      <c r="I18" s="200">
        <f t="shared" si="5"/>
        <v>7535896</v>
      </c>
      <c r="J18" s="200">
        <v>110965</v>
      </c>
      <c r="K18" s="200"/>
      <c r="L18" s="200"/>
      <c r="M18" s="200">
        <f t="shared" si="6"/>
        <v>7424931</v>
      </c>
      <c r="N18" s="200">
        <f t="shared" si="7"/>
        <v>65131</v>
      </c>
      <c r="O18" s="200">
        <f t="shared" si="8"/>
        <v>0</v>
      </c>
      <c r="P18" s="200">
        <f t="shared" si="9"/>
        <v>0</v>
      </c>
      <c r="Q18" s="200"/>
      <c r="R18" s="200"/>
      <c r="S18" s="200"/>
      <c r="T18" s="200"/>
      <c r="U18" s="200"/>
      <c r="V18" s="200"/>
      <c r="W18" s="200"/>
      <c r="X18" s="200">
        <v>7424931</v>
      </c>
      <c r="Y18" s="200">
        <v>65131</v>
      </c>
      <c r="Z18" s="200">
        <v>5318</v>
      </c>
      <c r="AA18" s="200">
        <f t="shared" si="10"/>
        <v>0</v>
      </c>
      <c r="AB18" s="200">
        <f t="shared" si="11"/>
        <v>0</v>
      </c>
      <c r="AC18" s="200"/>
      <c r="AD18" s="200"/>
      <c r="AE18" s="200"/>
      <c r="AF18" s="200"/>
      <c r="AG18" s="200"/>
      <c r="AH18" s="200"/>
      <c r="AI18" s="200"/>
      <c r="AJ18" s="200">
        <f t="shared" si="19"/>
        <v>6749825</v>
      </c>
      <c r="AK18" s="200">
        <f t="shared" si="12"/>
        <v>1315205</v>
      </c>
      <c r="AL18" s="200">
        <f t="shared" si="14"/>
        <v>0</v>
      </c>
      <c r="AM18" s="200">
        <f t="shared" si="15"/>
        <v>712336</v>
      </c>
      <c r="AN18" s="200">
        <f t="shared" si="16"/>
        <v>4645069</v>
      </c>
      <c r="AO18" s="200">
        <f t="shared" si="13"/>
        <v>77215</v>
      </c>
      <c r="AP18" s="201">
        <f t="shared" si="2"/>
        <v>0.6151558409279204</v>
      </c>
      <c r="AQ18" s="251">
        <f t="shared" si="3"/>
        <v>0</v>
      </c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</row>
    <row r="19" spans="1:107" s="203" customFormat="1" ht="17.25" customHeight="1">
      <c r="A19" s="43">
        <f t="shared" si="18"/>
        <v>10</v>
      </c>
      <c r="B19" s="44" t="s">
        <v>109</v>
      </c>
      <c r="C19" s="200">
        <f t="shared" si="4"/>
        <v>13500000</v>
      </c>
      <c r="D19" s="200">
        <v>1350000</v>
      </c>
      <c r="E19" s="200"/>
      <c r="F19" s="200">
        <v>675000</v>
      </c>
      <c r="G19" s="200">
        <f>13500000-D19-F19</f>
        <v>11475000</v>
      </c>
      <c r="H19" s="200"/>
      <c r="I19" s="200">
        <f t="shared" si="5"/>
        <v>0</v>
      </c>
      <c r="J19" s="200">
        <v>0</v>
      </c>
      <c r="K19" s="200"/>
      <c r="L19" s="200">
        <v>0</v>
      </c>
      <c r="M19" s="200">
        <f t="shared" si="6"/>
        <v>0</v>
      </c>
      <c r="N19" s="200">
        <f t="shared" si="7"/>
        <v>0</v>
      </c>
      <c r="O19" s="200">
        <f t="shared" si="8"/>
        <v>0</v>
      </c>
      <c r="P19" s="200">
        <f t="shared" si="9"/>
        <v>0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>
        <f t="shared" si="10"/>
        <v>0</v>
      </c>
      <c r="AB19" s="200">
        <f t="shared" si="11"/>
        <v>0</v>
      </c>
      <c r="AC19" s="200"/>
      <c r="AD19" s="200"/>
      <c r="AE19" s="200"/>
      <c r="AF19" s="200"/>
      <c r="AG19" s="200"/>
      <c r="AH19" s="200"/>
      <c r="AI19" s="200"/>
      <c r="AJ19" s="200">
        <f t="shared" si="19"/>
        <v>13500000</v>
      </c>
      <c r="AK19" s="200">
        <f t="shared" si="12"/>
        <v>1350000</v>
      </c>
      <c r="AL19" s="200">
        <f t="shared" si="14"/>
        <v>0</v>
      </c>
      <c r="AM19" s="200">
        <f t="shared" si="15"/>
        <v>675000</v>
      </c>
      <c r="AN19" s="200">
        <f t="shared" si="16"/>
        <v>11475000</v>
      </c>
      <c r="AO19" s="200">
        <f t="shared" si="13"/>
        <v>0</v>
      </c>
      <c r="AP19" s="201">
        <f t="shared" si="2"/>
        <v>0</v>
      </c>
      <c r="AQ19" s="251">
        <f t="shared" si="3"/>
        <v>0</v>
      </c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</row>
    <row r="20" spans="1:107" s="227" customFormat="1" ht="17.25" customHeight="1">
      <c r="A20" s="76">
        <f t="shared" si="18"/>
        <v>11</v>
      </c>
      <c r="B20" s="77" t="s">
        <v>77</v>
      </c>
      <c r="C20" s="225">
        <f t="shared" si="4"/>
        <v>150000</v>
      </c>
      <c r="D20" s="225">
        <v>15000</v>
      </c>
      <c r="E20" s="225"/>
      <c r="F20" s="225">
        <f>D20/2</f>
        <v>7500</v>
      </c>
      <c r="G20" s="225">
        <f>150000*85%</f>
        <v>127500</v>
      </c>
      <c r="H20" s="225"/>
      <c r="I20" s="225">
        <f t="shared" si="5"/>
        <v>0</v>
      </c>
      <c r="J20" s="225"/>
      <c r="K20" s="225"/>
      <c r="L20" s="225"/>
      <c r="M20" s="225">
        <f t="shared" si="6"/>
        <v>0</v>
      </c>
      <c r="N20" s="225">
        <f t="shared" si="7"/>
        <v>0</v>
      </c>
      <c r="O20" s="225">
        <f t="shared" si="8"/>
        <v>0</v>
      </c>
      <c r="P20" s="225">
        <f t="shared" si="9"/>
        <v>0</v>
      </c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>
        <f t="shared" si="10"/>
        <v>0</v>
      </c>
      <c r="AB20" s="225">
        <f t="shared" si="11"/>
        <v>0</v>
      </c>
      <c r="AC20" s="225"/>
      <c r="AD20" s="225"/>
      <c r="AE20" s="225"/>
      <c r="AF20" s="225"/>
      <c r="AG20" s="225"/>
      <c r="AH20" s="225"/>
      <c r="AI20" s="225"/>
      <c r="AJ20" s="225">
        <f t="shared" si="19"/>
        <v>150000</v>
      </c>
      <c r="AK20" s="225">
        <f t="shared" si="12"/>
        <v>15000</v>
      </c>
      <c r="AL20" s="225">
        <f t="shared" si="14"/>
        <v>0</v>
      </c>
      <c r="AM20" s="225">
        <f t="shared" si="15"/>
        <v>7500</v>
      </c>
      <c r="AN20" s="225">
        <f t="shared" si="16"/>
        <v>127500</v>
      </c>
      <c r="AO20" s="225">
        <f t="shared" si="13"/>
        <v>0</v>
      </c>
      <c r="AP20" s="226">
        <f t="shared" si="2"/>
        <v>0</v>
      </c>
      <c r="AQ20" s="251">
        <f t="shared" si="3"/>
        <v>0</v>
      </c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</row>
    <row r="21" spans="1:107" s="234" customFormat="1" ht="17.25" customHeight="1">
      <c r="A21" s="228" t="s">
        <v>110</v>
      </c>
      <c r="B21" s="229" t="s">
        <v>63</v>
      </c>
      <c r="C21" s="230">
        <f>SUM(C22:C26)</f>
        <v>75385332</v>
      </c>
      <c r="D21" s="230">
        <f aca="true" t="shared" si="20" ref="D21:AP21">SUM(D22:D26)</f>
        <v>7538533.2</v>
      </c>
      <c r="E21" s="230">
        <f t="shared" si="20"/>
        <v>0</v>
      </c>
      <c r="F21" s="230">
        <f t="shared" si="20"/>
        <v>3783007.5</v>
      </c>
      <c r="G21" s="230">
        <f>SUM(G22:G26)</f>
        <v>64063791.29999999</v>
      </c>
      <c r="H21" s="230">
        <f t="shared" si="20"/>
        <v>0</v>
      </c>
      <c r="I21" s="230">
        <f t="shared" si="20"/>
        <v>20841482</v>
      </c>
      <c r="J21" s="230">
        <f t="shared" si="20"/>
        <v>5051950</v>
      </c>
      <c r="K21" s="230">
        <f t="shared" si="20"/>
        <v>1285924</v>
      </c>
      <c r="L21" s="230">
        <f t="shared" si="20"/>
        <v>0</v>
      </c>
      <c r="M21" s="230">
        <f>SUM(M22:M26)</f>
        <v>14503608</v>
      </c>
      <c r="N21" s="230">
        <f t="shared" si="20"/>
        <v>97839</v>
      </c>
      <c r="O21" s="230">
        <f>SUM(O22:O26)</f>
        <v>12520197</v>
      </c>
      <c r="P21" s="230">
        <f t="shared" si="20"/>
        <v>83336</v>
      </c>
      <c r="Q21" s="230">
        <f>SUM(Q22:Q26)</f>
        <v>9</v>
      </c>
      <c r="R21" s="230">
        <f t="shared" si="20"/>
        <v>1184697</v>
      </c>
      <c r="S21" s="230">
        <f t="shared" si="20"/>
        <v>1995076</v>
      </c>
      <c r="T21" s="230">
        <f t="shared" si="20"/>
        <v>7566</v>
      </c>
      <c r="U21" s="230">
        <f t="shared" si="20"/>
        <v>8673524</v>
      </c>
      <c r="V21" s="230">
        <f t="shared" si="20"/>
        <v>69101</v>
      </c>
      <c r="W21" s="230">
        <f t="shared" si="20"/>
        <v>1062</v>
      </c>
      <c r="X21" s="230">
        <f>SUM(X22:X26)</f>
        <v>1376434</v>
      </c>
      <c r="Y21" s="230">
        <f t="shared" si="20"/>
        <v>10065</v>
      </c>
      <c r="Z21" s="230">
        <f t="shared" si="20"/>
        <v>1194</v>
      </c>
      <c r="AA21" s="230">
        <f>SUM(AA22:AA26)</f>
        <v>606977</v>
      </c>
      <c r="AB21" s="230">
        <f t="shared" si="20"/>
        <v>4438</v>
      </c>
      <c r="AC21" s="230">
        <f t="shared" si="20"/>
        <v>2</v>
      </c>
      <c r="AD21" s="230">
        <f t="shared" si="20"/>
        <v>60698</v>
      </c>
      <c r="AE21" s="230">
        <f t="shared" si="20"/>
        <v>0</v>
      </c>
      <c r="AF21" s="230">
        <f t="shared" si="20"/>
        <v>0</v>
      </c>
      <c r="AG21" s="230">
        <f t="shared" si="20"/>
        <v>546279</v>
      </c>
      <c r="AH21" s="230">
        <f t="shared" si="20"/>
        <v>4438</v>
      </c>
      <c r="AI21" s="230">
        <f t="shared" si="20"/>
        <v>21</v>
      </c>
      <c r="AJ21" s="230">
        <f t="shared" si="20"/>
        <v>54543850</v>
      </c>
      <c r="AK21" s="230">
        <f t="shared" si="20"/>
        <v>2486583.1999999997</v>
      </c>
      <c r="AL21" s="230">
        <f t="shared" si="20"/>
        <v>-1285924</v>
      </c>
      <c r="AM21" s="230">
        <f t="shared" si="20"/>
        <v>3783007.5</v>
      </c>
      <c r="AN21" s="230">
        <f t="shared" si="20"/>
        <v>49560183.3</v>
      </c>
      <c r="AO21" s="230">
        <f t="shared" si="20"/>
        <v>0</v>
      </c>
      <c r="AP21" s="230">
        <f t="shared" si="20"/>
        <v>1.2219345462598061</v>
      </c>
      <c r="AQ21" s="251">
        <f t="shared" si="3"/>
        <v>0</v>
      </c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</row>
    <row r="22" spans="1:107" s="199" customFormat="1" ht="17.25" customHeight="1">
      <c r="A22" s="41">
        <v>12</v>
      </c>
      <c r="B22" s="42" t="s">
        <v>78</v>
      </c>
      <c r="C22" s="193">
        <f t="shared" si="4"/>
        <v>7274502</v>
      </c>
      <c r="D22" s="193">
        <f>7274502*10%</f>
        <v>727450.2000000001</v>
      </c>
      <c r="E22" s="193"/>
      <c r="F22" s="193">
        <v>377466</v>
      </c>
      <c r="G22" s="193">
        <f>7274502-D22-F22</f>
        <v>6169585.8</v>
      </c>
      <c r="H22" s="193"/>
      <c r="I22" s="193">
        <f t="shared" si="5"/>
        <v>7094450</v>
      </c>
      <c r="J22" s="193">
        <v>700053</v>
      </c>
      <c r="K22" s="193">
        <v>511681</v>
      </c>
      <c r="L22" s="193"/>
      <c r="M22" s="193">
        <f t="shared" si="6"/>
        <v>5882716</v>
      </c>
      <c r="N22" s="193">
        <f t="shared" si="7"/>
        <v>43015</v>
      </c>
      <c r="O22" s="193">
        <f t="shared" si="8"/>
        <v>3899305</v>
      </c>
      <c r="P22" s="193">
        <f t="shared" si="9"/>
        <v>28512</v>
      </c>
      <c r="Q22" s="193">
        <v>3</v>
      </c>
      <c r="R22" s="193">
        <v>389298</v>
      </c>
      <c r="S22" s="193">
        <v>1995076</v>
      </c>
      <c r="T22" s="193">
        <v>7566</v>
      </c>
      <c r="U22" s="193">
        <v>1514931</v>
      </c>
      <c r="V22" s="193">
        <v>20946</v>
      </c>
      <c r="W22" s="252">
        <v>192</v>
      </c>
      <c r="X22" s="193">
        <v>1376434</v>
      </c>
      <c r="Y22" s="193">
        <v>10065</v>
      </c>
      <c r="Z22" s="193">
        <v>1194</v>
      </c>
      <c r="AA22" s="193">
        <f t="shared" si="10"/>
        <v>606977</v>
      </c>
      <c r="AB22" s="193">
        <f t="shared" si="11"/>
        <v>4438</v>
      </c>
      <c r="AC22" s="193">
        <v>2</v>
      </c>
      <c r="AD22" s="193">
        <v>60698</v>
      </c>
      <c r="AE22" s="193"/>
      <c r="AF22" s="193"/>
      <c r="AG22" s="193">
        <v>546279</v>
      </c>
      <c r="AH22" s="193">
        <v>4438</v>
      </c>
      <c r="AI22" s="253">
        <v>21</v>
      </c>
      <c r="AJ22" s="193">
        <f t="shared" si="19"/>
        <v>180051.99999999988</v>
      </c>
      <c r="AK22" s="193">
        <f t="shared" si="12"/>
        <v>27397.20000000007</v>
      </c>
      <c r="AL22" s="193">
        <f t="shared" si="14"/>
        <v>-511681</v>
      </c>
      <c r="AM22" s="193">
        <f t="shared" si="15"/>
        <v>377466</v>
      </c>
      <c r="AN22" s="193">
        <f t="shared" si="16"/>
        <v>286869.7999999998</v>
      </c>
      <c r="AO22" s="193">
        <f t="shared" si="13"/>
        <v>0</v>
      </c>
      <c r="AP22" s="235">
        <f t="shared" si="2"/>
        <v>0.953502583593213</v>
      </c>
      <c r="AQ22" s="251">
        <f t="shared" si="3"/>
        <v>0</v>
      </c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</row>
    <row r="23" spans="1:107" s="203" customFormat="1" ht="17.25" customHeight="1">
      <c r="A23" s="43">
        <v>13</v>
      </c>
      <c r="B23" s="44" t="s">
        <v>79</v>
      </c>
      <c r="C23" s="200">
        <f t="shared" si="4"/>
        <v>44335663</v>
      </c>
      <c r="D23" s="200">
        <f>44335663*10%</f>
        <v>4433566.3</v>
      </c>
      <c r="E23" s="200"/>
      <c r="F23" s="200">
        <f>D23/2</f>
        <v>2216783.15</v>
      </c>
      <c r="G23" s="200">
        <f>44335663*85%</f>
        <v>37685313.55</v>
      </c>
      <c r="H23" s="200"/>
      <c r="I23" s="200">
        <f t="shared" si="5"/>
        <v>11576339</v>
      </c>
      <c r="J23" s="200">
        <f>2981347+641000</f>
        <v>3622347</v>
      </c>
      <c r="K23" s="200"/>
      <c r="L23" s="200"/>
      <c r="M23" s="200">
        <f t="shared" si="6"/>
        <v>7953992</v>
      </c>
      <c r="N23" s="200">
        <f t="shared" si="7"/>
        <v>48155</v>
      </c>
      <c r="O23" s="200">
        <f t="shared" si="8"/>
        <v>7953992</v>
      </c>
      <c r="P23" s="200">
        <f t="shared" si="9"/>
        <v>48155</v>
      </c>
      <c r="Q23" s="200">
        <v>3</v>
      </c>
      <c r="R23" s="200">
        <v>795399</v>
      </c>
      <c r="S23" s="200"/>
      <c r="T23" s="200"/>
      <c r="U23" s="200">
        <v>7158593</v>
      </c>
      <c r="V23" s="200">
        <v>48155</v>
      </c>
      <c r="W23" s="200">
        <v>870</v>
      </c>
      <c r="X23" s="200"/>
      <c r="Y23" s="200"/>
      <c r="Z23" s="200"/>
      <c r="AA23" s="200">
        <f t="shared" si="10"/>
        <v>0</v>
      </c>
      <c r="AB23" s="200">
        <f t="shared" si="11"/>
        <v>0</v>
      </c>
      <c r="AC23" s="200"/>
      <c r="AD23" s="200"/>
      <c r="AE23" s="200"/>
      <c r="AF23" s="200"/>
      <c r="AG23" s="200"/>
      <c r="AH23" s="200"/>
      <c r="AI23" s="200"/>
      <c r="AJ23" s="200">
        <f t="shared" si="19"/>
        <v>32759323.999999996</v>
      </c>
      <c r="AK23" s="200">
        <f t="shared" si="12"/>
        <v>811219.2999999998</v>
      </c>
      <c r="AL23" s="200">
        <f t="shared" si="14"/>
        <v>0</v>
      </c>
      <c r="AM23" s="200">
        <f t="shared" si="15"/>
        <v>2216783.15</v>
      </c>
      <c r="AN23" s="200">
        <f t="shared" si="16"/>
        <v>29731321.549999997</v>
      </c>
      <c r="AO23" s="200">
        <f t="shared" si="13"/>
        <v>0</v>
      </c>
      <c r="AP23" s="201">
        <f t="shared" si="2"/>
        <v>0.21106344224645573</v>
      </c>
      <c r="AQ23" s="251">
        <f t="shared" si="3"/>
        <v>0</v>
      </c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</row>
    <row r="24" spans="1:107" s="203" customFormat="1" ht="17.25" customHeight="1">
      <c r="A24" s="43">
        <f>A23+1</f>
        <v>14</v>
      </c>
      <c r="B24" s="44" t="s">
        <v>111</v>
      </c>
      <c r="C24" s="200">
        <f t="shared" si="4"/>
        <v>193388</v>
      </c>
      <c r="D24" s="200">
        <f>193388*10%</f>
        <v>19338.8</v>
      </c>
      <c r="E24" s="200"/>
      <c r="F24" s="200">
        <f>D24/2</f>
        <v>9669.4</v>
      </c>
      <c r="G24" s="200">
        <f>193388*85%</f>
        <v>164379.8</v>
      </c>
      <c r="H24" s="200"/>
      <c r="I24" s="200">
        <f t="shared" si="5"/>
        <v>0</v>
      </c>
      <c r="J24" s="200"/>
      <c r="K24" s="200"/>
      <c r="L24" s="200"/>
      <c r="M24" s="200">
        <f t="shared" si="6"/>
        <v>0</v>
      </c>
      <c r="N24" s="200">
        <f t="shared" si="7"/>
        <v>0</v>
      </c>
      <c r="O24" s="200">
        <f t="shared" si="8"/>
        <v>0</v>
      </c>
      <c r="P24" s="200">
        <f t="shared" si="9"/>
        <v>0</v>
      </c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>
        <f t="shared" si="10"/>
        <v>0</v>
      </c>
      <c r="AB24" s="200">
        <f t="shared" si="11"/>
        <v>0</v>
      </c>
      <c r="AC24" s="200"/>
      <c r="AD24" s="200"/>
      <c r="AE24" s="200"/>
      <c r="AF24" s="200"/>
      <c r="AG24" s="200"/>
      <c r="AH24" s="200"/>
      <c r="AI24" s="200"/>
      <c r="AJ24" s="200">
        <f t="shared" si="19"/>
        <v>193388</v>
      </c>
      <c r="AK24" s="200">
        <f t="shared" si="12"/>
        <v>19338.8</v>
      </c>
      <c r="AL24" s="200">
        <f t="shared" si="14"/>
        <v>0</v>
      </c>
      <c r="AM24" s="200">
        <f t="shared" si="15"/>
        <v>9669.4</v>
      </c>
      <c r="AN24" s="200">
        <f t="shared" si="16"/>
        <v>164379.8</v>
      </c>
      <c r="AO24" s="200">
        <f t="shared" si="13"/>
        <v>0</v>
      </c>
      <c r="AP24" s="201">
        <f t="shared" si="2"/>
        <v>0</v>
      </c>
      <c r="AQ24" s="251">
        <f t="shared" si="3"/>
        <v>0</v>
      </c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</row>
    <row r="25" spans="1:107" s="203" customFormat="1" ht="17.25" customHeight="1">
      <c r="A25" s="43">
        <f>A24+1</f>
        <v>15</v>
      </c>
      <c r="B25" s="44" t="s">
        <v>112</v>
      </c>
      <c r="C25" s="200">
        <f>SUM(D25:H25)</f>
        <v>13676285</v>
      </c>
      <c r="D25" s="200">
        <f>13676285*10%</f>
        <v>1367628.5</v>
      </c>
      <c r="E25" s="200"/>
      <c r="F25" s="200">
        <f>D25/2</f>
        <v>683814.25</v>
      </c>
      <c r="G25" s="200">
        <f>13676285*85%</f>
        <v>11624842.25</v>
      </c>
      <c r="H25" s="200"/>
      <c r="I25" s="200">
        <f t="shared" si="5"/>
        <v>1657217</v>
      </c>
      <c r="J25" s="200">
        <f>504424</f>
        <v>504424</v>
      </c>
      <c r="K25" s="200">
        <v>485893</v>
      </c>
      <c r="L25" s="200"/>
      <c r="M25" s="200">
        <f t="shared" si="6"/>
        <v>666900</v>
      </c>
      <c r="N25" s="200">
        <f t="shared" si="7"/>
        <v>6669</v>
      </c>
      <c r="O25" s="200">
        <v>666900</v>
      </c>
      <c r="P25" s="200">
        <v>6669</v>
      </c>
      <c r="Q25" s="200">
        <v>3</v>
      </c>
      <c r="R25" s="200">
        <v>0</v>
      </c>
      <c r="S25" s="200"/>
      <c r="T25" s="200"/>
      <c r="U25" s="200">
        <v>0</v>
      </c>
      <c r="V25" s="200">
        <v>0</v>
      </c>
      <c r="W25" s="200"/>
      <c r="X25" s="200"/>
      <c r="Y25" s="200"/>
      <c r="Z25" s="200"/>
      <c r="AA25" s="200">
        <f t="shared" si="10"/>
        <v>0</v>
      </c>
      <c r="AB25" s="200">
        <f t="shared" si="11"/>
        <v>0</v>
      </c>
      <c r="AC25" s="200"/>
      <c r="AD25" s="200"/>
      <c r="AE25" s="200"/>
      <c r="AF25" s="200"/>
      <c r="AG25" s="200"/>
      <c r="AH25" s="200"/>
      <c r="AI25" s="200"/>
      <c r="AJ25" s="200">
        <f t="shared" si="19"/>
        <v>12019068</v>
      </c>
      <c r="AK25" s="200">
        <f t="shared" si="12"/>
        <v>863204.5</v>
      </c>
      <c r="AL25" s="200">
        <f t="shared" si="14"/>
        <v>-485893</v>
      </c>
      <c r="AM25" s="200">
        <f t="shared" si="15"/>
        <v>683814.25</v>
      </c>
      <c r="AN25" s="200">
        <f t="shared" si="16"/>
        <v>10957942.25</v>
      </c>
      <c r="AO25" s="200">
        <f t="shared" si="13"/>
        <v>0</v>
      </c>
      <c r="AP25" s="201">
        <f>M25/G25</f>
        <v>0.05736852042013731</v>
      </c>
      <c r="AQ25" s="251">
        <f t="shared" si="3"/>
        <v>0</v>
      </c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</row>
    <row r="26" spans="1:107" s="227" customFormat="1" ht="17.25" customHeight="1">
      <c r="A26" s="76">
        <f>A25+1</f>
        <v>16</v>
      </c>
      <c r="B26" s="77" t="s">
        <v>81</v>
      </c>
      <c r="C26" s="225">
        <f t="shared" si="4"/>
        <v>9905494</v>
      </c>
      <c r="D26" s="225">
        <f>9905494*10%</f>
        <v>990549.4</v>
      </c>
      <c r="E26" s="225"/>
      <c r="F26" s="225">
        <f>D26/2</f>
        <v>495274.7</v>
      </c>
      <c r="G26" s="225">
        <f>9905494*85%</f>
        <v>8419669.9</v>
      </c>
      <c r="H26" s="225"/>
      <c r="I26" s="225">
        <f>SUM(J26:M26)</f>
        <v>513476</v>
      </c>
      <c r="J26" s="225">
        <v>225126</v>
      </c>
      <c r="K26" s="225">
        <v>288350</v>
      </c>
      <c r="L26" s="225"/>
      <c r="M26" s="225">
        <f t="shared" si="6"/>
        <v>0</v>
      </c>
      <c r="N26" s="225">
        <f t="shared" si="7"/>
        <v>0</v>
      </c>
      <c r="O26" s="225">
        <f t="shared" si="8"/>
        <v>0</v>
      </c>
      <c r="P26" s="225">
        <f t="shared" si="9"/>
        <v>0</v>
      </c>
      <c r="Q26" s="225"/>
      <c r="R26" s="225"/>
      <c r="S26" s="225">
        <v>0</v>
      </c>
      <c r="T26" s="225"/>
      <c r="U26" s="225"/>
      <c r="V26" s="225"/>
      <c r="W26" s="225"/>
      <c r="X26" s="225"/>
      <c r="Y26" s="225"/>
      <c r="Z26" s="225"/>
      <c r="AA26" s="225">
        <f t="shared" si="10"/>
        <v>0</v>
      </c>
      <c r="AB26" s="225">
        <f t="shared" si="11"/>
        <v>0</v>
      </c>
      <c r="AC26" s="225"/>
      <c r="AD26" s="225"/>
      <c r="AE26" s="225"/>
      <c r="AF26" s="225"/>
      <c r="AG26" s="225"/>
      <c r="AH26" s="225"/>
      <c r="AI26" s="225"/>
      <c r="AJ26" s="225">
        <f t="shared" si="19"/>
        <v>9392018</v>
      </c>
      <c r="AK26" s="225">
        <f t="shared" si="12"/>
        <v>765423.4</v>
      </c>
      <c r="AL26" s="225">
        <f t="shared" si="14"/>
        <v>-288350</v>
      </c>
      <c r="AM26" s="225">
        <f t="shared" si="15"/>
        <v>495274.7</v>
      </c>
      <c r="AN26" s="225">
        <f t="shared" si="16"/>
        <v>8419669.9</v>
      </c>
      <c r="AO26" s="225">
        <f t="shared" si="13"/>
        <v>0</v>
      </c>
      <c r="AP26" s="226">
        <f t="shared" si="2"/>
        <v>0</v>
      </c>
      <c r="AQ26" s="251">
        <f t="shared" si="3"/>
        <v>0</v>
      </c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</row>
    <row r="27" spans="1:107" s="234" customFormat="1" ht="17.25" customHeight="1">
      <c r="A27" s="228" t="s">
        <v>113</v>
      </c>
      <c r="B27" s="229" t="s">
        <v>64</v>
      </c>
      <c r="C27" s="230">
        <f t="shared" si="4"/>
        <v>83088121</v>
      </c>
      <c r="D27" s="230">
        <f>SUM(D28:D34)</f>
        <v>8308812</v>
      </c>
      <c r="E27" s="230"/>
      <c r="F27" s="230">
        <f>SUM(F28:F34)</f>
        <v>4154405.5</v>
      </c>
      <c r="G27" s="230">
        <f>SUM(G28:G34)</f>
        <v>70624903.5</v>
      </c>
      <c r="H27" s="230">
        <f>SUM(H28:H34)</f>
        <v>0</v>
      </c>
      <c r="I27" s="230">
        <f t="shared" si="5"/>
        <v>36497498</v>
      </c>
      <c r="J27" s="230">
        <f>SUM(J28:J34)</f>
        <v>4310932</v>
      </c>
      <c r="K27" s="230"/>
      <c r="L27" s="230">
        <f>SUM(L28:L34)</f>
        <v>61679</v>
      </c>
      <c r="M27" s="230">
        <f>SUM(M28:M34)</f>
        <v>32124887</v>
      </c>
      <c r="N27" s="230">
        <f t="shared" si="7"/>
        <v>257773</v>
      </c>
      <c r="O27" s="230">
        <f>SUM(O28:O34)</f>
        <v>30721651</v>
      </c>
      <c r="P27" s="230">
        <f t="shared" si="9"/>
        <v>257773</v>
      </c>
      <c r="Q27" s="230">
        <f aca="true" t="shared" si="21" ref="Q27:AA27">SUM(Q28:Q34)</f>
        <v>24</v>
      </c>
      <c r="R27" s="230">
        <f t="shared" si="21"/>
        <v>2470668</v>
      </c>
      <c r="S27" s="230">
        <f t="shared" si="21"/>
        <v>4048219</v>
      </c>
      <c r="T27" s="230">
        <f t="shared" si="21"/>
        <v>105534</v>
      </c>
      <c r="U27" s="230">
        <f t="shared" si="21"/>
        <v>18187796</v>
      </c>
      <c r="V27" s="230">
        <f t="shared" si="21"/>
        <v>152239</v>
      </c>
      <c r="W27" s="230">
        <f t="shared" si="21"/>
        <v>13062</v>
      </c>
      <c r="X27" s="230">
        <f t="shared" si="21"/>
        <v>0</v>
      </c>
      <c r="Y27" s="230">
        <f t="shared" si="21"/>
        <v>0</v>
      </c>
      <c r="Z27" s="230">
        <f t="shared" si="21"/>
        <v>0</v>
      </c>
      <c r="AA27" s="230">
        <f t="shared" si="21"/>
        <v>1403236</v>
      </c>
      <c r="AB27" s="230">
        <f t="shared" si="11"/>
        <v>0</v>
      </c>
      <c r="AC27" s="230">
        <f>SUM(AC28:AC34)</f>
        <v>3</v>
      </c>
      <c r="AD27" s="230"/>
      <c r="AE27" s="230"/>
      <c r="AF27" s="230"/>
      <c r="AG27" s="230"/>
      <c r="AH27" s="230"/>
      <c r="AI27" s="230">
        <f>AI28</f>
        <v>2872</v>
      </c>
      <c r="AJ27" s="230">
        <f t="shared" si="19"/>
        <v>46590623</v>
      </c>
      <c r="AK27" s="230">
        <f>SUM(AK28:AK34)</f>
        <v>3997880.0000000005</v>
      </c>
      <c r="AL27" s="230">
        <f t="shared" si="14"/>
        <v>0</v>
      </c>
      <c r="AM27" s="230">
        <f t="shared" si="15"/>
        <v>4092726.5</v>
      </c>
      <c r="AN27" s="230">
        <f t="shared" si="16"/>
        <v>38500016.5</v>
      </c>
      <c r="AO27" s="230">
        <f t="shared" si="13"/>
        <v>0</v>
      </c>
      <c r="AP27" s="231">
        <f t="shared" si="2"/>
        <v>0.45486627815356945</v>
      </c>
      <c r="AQ27" s="251">
        <f t="shared" si="3"/>
        <v>0</v>
      </c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</row>
    <row r="28" spans="1:107" s="199" customFormat="1" ht="17.25" customHeight="1">
      <c r="A28" s="41">
        <v>17</v>
      </c>
      <c r="B28" s="42" t="s">
        <v>114</v>
      </c>
      <c r="C28" s="193">
        <f>SUM(D28:H28)</f>
        <v>47168289</v>
      </c>
      <c r="D28" s="193">
        <f>47168289*10%</f>
        <v>4716828.9</v>
      </c>
      <c r="E28" s="193"/>
      <c r="F28" s="193">
        <f aca="true" t="shared" si="22" ref="F28:F33">D28/2</f>
        <v>2358414.45</v>
      </c>
      <c r="G28" s="193">
        <f>47168289*85%</f>
        <v>40093045.65</v>
      </c>
      <c r="H28" s="193"/>
      <c r="I28" s="193">
        <f t="shared" si="5"/>
        <v>29248939</v>
      </c>
      <c r="J28" s="193">
        <f>4187573</f>
        <v>4187573</v>
      </c>
      <c r="K28" s="193"/>
      <c r="L28" s="193"/>
      <c r="M28" s="193">
        <f t="shared" si="6"/>
        <v>25061366</v>
      </c>
      <c r="N28" s="193">
        <f t="shared" si="7"/>
        <v>177281</v>
      </c>
      <c r="O28" s="193">
        <f t="shared" si="8"/>
        <v>23658130</v>
      </c>
      <c r="P28" s="193">
        <f t="shared" si="9"/>
        <v>156981</v>
      </c>
      <c r="Q28" s="193">
        <v>9</v>
      </c>
      <c r="R28" s="193">
        <v>2365813</v>
      </c>
      <c r="S28" s="193">
        <v>3173889</v>
      </c>
      <c r="T28" s="193">
        <v>23400</v>
      </c>
      <c r="U28" s="193">
        <v>18118428</v>
      </c>
      <c r="V28" s="193">
        <v>133581</v>
      </c>
      <c r="W28" s="193">
        <v>13039</v>
      </c>
      <c r="X28" s="193"/>
      <c r="Y28" s="193"/>
      <c r="Z28" s="193"/>
      <c r="AA28" s="193">
        <f t="shared" si="10"/>
        <v>1403236</v>
      </c>
      <c r="AB28" s="193">
        <f t="shared" si="11"/>
        <v>20300</v>
      </c>
      <c r="AC28" s="193">
        <v>3</v>
      </c>
      <c r="AD28" s="193">
        <v>140324</v>
      </c>
      <c r="AE28" s="193"/>
      <c r="AF28" s="193"/>
      <c r="AG28" s="193">
        <v>1262912</v>
      </c>
      <c r="AH28" s="193">
        <v>20300</v>
      </c>
      <c r="AI28" s="193">
        <v>2872</v>
      </c>
      <c r="AJ28" s="193">
        <f t="shared" si="19"/>
        <v>17919350</v>
      </c>
      <c r="AK28" s="193">
        <f t="shared" si="12"/>
        <v>529255.9000000004</v>
      </c>
      <c r="AL28" s="193">
        <f t="shared" si="14"/>
        <v>0</v>
      </c>
      <c r="AM28" s="193">
        <f t="shared" si="15"/>
        <v>2358414.45</v>
      </c>
      <c r="AN28" s="193">
        <f t="shared" si="16"/>
        <v>15031679.649999999</v>
      </c>
      <c r="AO28" s="193">
        <f t="shared" si="13"/>
        <v>0</v>
      </c>
      <c r="AP28" s="235">
        <f t="shared" si="2"/>
        <v>0.625080125335901</v>
      </c>
      <c r="AQ28" s="251">
        <f t="shared" si="3"/>
        <v>0</v>
      </c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</row>
    <row r="29" spans="1:107" s="203" customFormat="1" ht="17.25" customHeight="1">
      <c r="A29" s="43">
        <f aca="true" t="shared" si="23" ref="A29:A34">A28+1</f>
        <v>18</v>
      </c>
      <c r="B29" s="44" t="s">
        <v>115</v>
      </c>
      <c r="C29" s="200">
        <f t="shared" si="4"/>
        <v>1791316</v>
      </c>
      <c r="D29" s="200">
        <f>1791316*10%</f>
        <v>179131.6</v>
      </c>
      <c r="E29" s="200"/>
      <c r="F29" s="200">
        <f t="shared" si="22"/>
        <v>89565.8</v>
      </c>
      <c r="G29" s="200">
        <f>1791316*85%</f>
        <v>1522618.5999999999</v>
      </c>
      <c r="H29" s="200"/>
      <c r="I29" s="200">
        <f t="shared" si="5"/>
        <v>0</v>
      </c>
      <c r="J29" s="200"/>
      <c r="K29" s="200"/>
      <c r="L29" s="200"/>
      <c r="M29" s="200">
        <f t="shared" si="6"/>
        <v>0</v>
      </c>
      <c r="N29" s="200">
        <f t="shared" si="7"/>
        <v>0</v>
      </c>
      <c r="O29" s="200">
        <f t="shared" si="8"/>
        <v>0</v>
      </c>
      <c r="P29" s="200">
        <f t="shared" si="9"/>
        <v>0</v>
      </c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>
        <f t="shared" si="10"/>
        <v>0</v>
      </c>
      <c r="AB29" s="200">
        <f t="shared" si="11"/>
        <v>0</v>
      </c>
      <c r="AC29" s="200"/>
      <c r="AD29" s="200"/>
      <c r="AE29" s="200"/>
      <c r="AF29" s="200"/>
      <c r="AG29" s="200"/>
      <c r="AH29" s="200"/>
      <c r="AI29" s="200"/>
      <c r="AJ29" s="200">
        <f t="shared" si="19"/>
        <v>1791316</v>
      </c>
      <c r="AK29" s="200">
        <f t="shared" si="12"/>
        <v>179131.6</v>
      </c>
      <c r="AL29" s="200">
        <f t="shared" si="14"/>
        <v>0</v>
      </c>
      <c r="AM29" s="200">
        <f t="shared" si="15"/>
        <v>89565.8</v>
      </c>
      <c r="AN29" s="200">
        <f t="shared" si="16"/>
        <v>1522618.5999999999</v>
      </c>
      <c r="AO29" s="200">
        <f t="shared" si="13"/>
        <v>0</v>
      </c>
      <c r="AP29" s="201">
        <f t="shared" si="2"/>
        <v>0</v>
      </c>
      <c r="AQ29" s="251">
        <f t="shared" si="3"/>
        <v>0</v>
      </c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</row>
    <row r="30" spans="1:107" s="203" customFormat="1" ht="17.25" customHeight="1">
      <c r="A30" s="43">
        <f t="shared" si="23"/>
        <v>19</v>
      </c>
      <c r="B30" s="44" t="s">
        <v>116</v>
      </c>
      <c r="C30" s="200">
        <v>0</v>
      </c>
      <c r="D30" s="200">
        <v>0</v>
      </c>
      <c r="E30" s="200"/>
      <c r="F30" s="200">
        <f t="shared" si="22"/>
        <v>0</v>
      </c>
      <c r="G30" s="200">
        <v>0</v>
      </c>
      <c r="H30" s="200"/>
      <c r="I30" s="200">
        <f t="shared" si="5"/>
        <v>0</v>
      </c>
      <c r="J30" s="200"/>
      <c r="K30" s="200"/>
      <c r="L30" s="200"/>
      <c r="M30" s="200">
        <f t="shared" si="6"/>
        <v>0</v>
      </c>
      <c r="N30" s="200">
        <f t="shared" si="7"/>
        <v>0</v>
      </c>
      <c r="O30" s="200">
        <f t="shared" si="8"/>
        <v>0</v>
      </c>
      <c r="P30" s="200">
        <f t="shared" si="9"/>
        <v>0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>
        <f t="shared" si="10"/>
        <v>0</v>
      </c>
      <c r="AB30" s="200">
        <f t="shared" si="11"/>
        <v>0</v>
      </c>
      <c r="AC30" s="200"/>
      <c r="AD30" s="200"/>
      <c r="AE30" s="200"/>
      <c r="AF30" s="200"/>
      <c r="AG30" s="200"/>
      <c r="AH30" s="200"/>
      <c r="AI30" s="200"/>
      <c r="AJ30" s="200">
        <f t="shared" si="19"/>
        <v>0</v>
      </c>
      <c r="AK30" s="200">
        <f t="shared" si="12"/>
        <v>0</v>
      </c>
      <c r="AL30" s="200">
        <f t="shared" si="14"/>
        <v>0</v>
      </c>
      <c r="AM30" s="200">
        <f t="shared" si="15"/>
        <v>0</v>
      </c>
      <c r="AN30" s="200">
        <f t="shared" si="16"/>
        <v>0</v>
      </c>
      <c r="AO30" s="200">
        <f t="shared" si="13"/>
        <v>0</v>
      </c>
      <c r="AP30" s="201" t="e">
        <f t="shared" si="2"/>
        <v>#DIV/0!</v>
      </c>
      <c r="AQ30" s="251">
        <f t="shared" si="3"/>
        <v>0</v>
      </c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</row>
    <row r="31" spans="1:107" s="203" customFormat="1" ht="17.25" customHeight="1">
      <c r="A31" s="43">
        <f t="shared" si="23"/>
        <v>20</v>
      </c>
      <c r="B31" s="44" t="s">
        <v>84</v>
      </c>
      <c r="C31" s="200">
        <f>SUM(D31:H31)</f>
        <v>160242</v>
      </c>
      <c r="D31" s="200">
        <f>160242*10%</f>
        <v>16024.2</v>
      </c>
      <c r="E31" s="200"/>
      <c r="F31" s="200">
        <f t="shared" si="22"/>
        <v>8012.1</v>
      </c>
      <c r="G31" s="200">
        <f>160242*85%</f>
        <v>136205.69999999998</v>
      </c>
      <c r="H31" s="200"/>
      <c r="I31" s="200">
        <f t="shared" si="5"/>
        <v>0</v>
      </c>
      <c r="J31" s="200"/>
      <c r="K31" s="200"/>
      <c r="L31" s="200"/>
      <c r="M31" s="200">
        <f t="shared" si="6"/>
        <v>0</v>
      </c>
      <c r="N31" s="200">
        <f t="shared" si="7"/>
        <v>0</v>
      </c>
      <c r="O31" s="200">
        <f t="shared" si="8"/>
        <v>0</v>
      </c>
      <c r="P31" s="200">
        <f t="shared" si="9"/>
        <v>0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>
        <f t="shared" si="10"/>
        <v>0</v>
      </c>
      <c r="AB31" s="200">
        <f t="shared" si="11"/>
        <v>0</v>
      </c>
      <c r="AC31" s="200"/>
      <c r="AD31" s="200"/>
      <c r="AE31" s="200"/>
      <c r="AF31" s="200"/>
      <c r="AG31" s="200"/>
      <c r="AH31" s="200"/>
      <c r="AI31" s="200"/>
      <c r="AJ31" s="200">
        <f t="shared" si="19"/>
        <v>160242</v>
      </c>
      <c r="AK31" s="200">
        <f t="shared" si="12"/>
        <v>16024.2</v>
      </c>
      <c r="AL31" s="200">
        <f t="shared" si="14"/>
        <v>0</v>
      </c>
      <c r="AM31" s="200">
        <f t="shared" si="15"/>
        <v>8012.1</v>
      </c>
      <c r="AN31" s="200">
        <f t="shared" si="16"/>
        <v>136205.69999999998</v>
      </c>
      <c r="AO31" s="200">
        <f t="shared" si="13"/>
        <v>0</v>
      </c>
      <c r="AP31" s="201">
        <f t="shared" si="2"/>
        <v>0</v>
      </c>
      <c r="AQ31" s="251">
        <f t="shared" si="3"/>
        <v>0</v>
      </c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</row>
    <row r="32" spans="1:107" s="203" customFormat="1" ht="17.25" customHeight="1">
      <c r="A32" s="43">
        <f t="shared" si="23"/>
        <v>21</v>
      </c>
      <c r="B32" s="44" t="s">
        <v>83</v>
      </c>
      <c r="C32" s="200">
        <f t="shared" si="4"/>
        <v>2467683</v>
      </c>
      <c r="D32" s="200">
        <f>2467683*10%</f>
        <v>246768.30000000002</v>
      </c>
      <c r="E32" s="200"/>
      <c r="F32" s="200">
        <f t="shared" si="22"/>
        <v>123384.15000000001</v>
      </c>
      <c r="G32" s="200">
        <f>2467683*85%</f>
        <v>2097530.55</v>
      </c>
      <c r="H32" s="200"/>
      <c r="I32" s="200">
        <f t="shared" si="5"/>
        <v>0</v>
      </c>
      <c r="J32" s="200"/>
      <c r="K32" s="200"/>
      <c r="L32" s="200"/>
      <c r="M32" s="200">
        <f t="shared" si="6"/>
        <v>0</v>
      </c>
      <c r="N32" s="200">
        <f t="shared" si="7"/>
        <v>0</v>
      </c>
      <c r="O32" s="200">
        <f t="shared" si="8"/>
        <v>0</v>
      </c>
      <c r="P32" s="200">
        <f t="shared" si="9"/>
        <v>0</v>
      </c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>
        <f t="shared" si="10"/>
        <v>0</v>
      </c>
      <c r="AB32" s="200">
        <f t="shared" si="11"/>
        <v>0</v>
      </c>
      <c r="AC32" s="200"/>
      <c r="AD32" s="200"/>
      <c r="AE32" s="200"/>
      <c r="AF32" s="200"/>
      <c r="AG32" s="200"/>
      <c r="AH32" s="200"/>
      <c r="AI32" s="200"/>
      <c r="AJ32" s="200">
        <f t="shared" si="19"/>
        <v>2467683</v>
      </c>
      <c r="AK32" s="200">
        <f t="shared" si="12"/>
        <v>246768.30000000002</v>
      </c>
      <c r="AL32" s="200">
        <f t="shared" si="14"/>
        <v>0</v>
      </c>
      <c r="AM32" s="200">
        <f t="shared" si="15"/>
        <v>123384.15000000001</v>
      </c>
      <c r="AN32" s="200">
        <f t="shared" si="16"/>
        <v>2097530.55</v>
      </c>
      <c r="AO32" s="200">
        <f t="shared" si="13"/>
        <v>0</v>
      </c>
      <c r="AP32" s="201">
        <f t="shared" si="2"/>
        <v>0</v>
      </c>
      <c r="AQ32" s="251">
        <f t="shared" si="3"/>
        <v>0</v>
      </c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</row>
    <row r="33" spans="1:107" s="203" customFormat="1" ht="17.25" customHeight="1">
      <c r="A33" s="43">
        <f t="shared" si="23"/>
        <v>22</v>
      </c>
      <c r="B33" s="44" t="s">
        <v>85</v>
      </c>
      <c r="C33" s="200">
        <f t="shared" si="4"/>
        <v>30267000</v>
      </c>
      <c r="D33" s="200">
        <f>30267000*10%</f>
        <v>3026700</v>
      </c>
      <c r="E33" s="200"/>
      <c r="F33" s="200">
        <f t="shared" si="22"/>
        <v>1513350</v>
      </c>
      <c r="G33" s="200">
        <f>30267000*85%</f>
        <v>25726950</v>
      </c>
      <c r="H33" s="200"/>
      <c r="I33" s="200">
        <f t="shared" si="5"/>
        <v>6014968</v>
      </c>
      <c r="J33" s="200"/>
      <c r="K33" s="200"/>
      <c r="L33" s="200"/>
      <c r="M33" s="200">
        <f t="shared" si="6"/>
        <v>6014968</v>
      </c>
      <c r="N33" s="200">
        <f t="shared" si="7"/>
        <v>21666</v>
      </c>
      <c r="O33" s="200">
        <v>6014968</v>
      </c>
      <c r="P33" s="200">
        <v>21666</v>
      </c>
      <c r="Q33" s="200">
        <v>5</v>
      </c>
      <c r="R33" s="200"/>
      <c r="S33" s="200"/>
      <c r="T33" s="200"/>
      <c r="U33" s="200"/>
      <c r="V33" s="200"/>
      <c r="W33" s="200"/>
      <c r="X33" s="200"/>
      <c r="Y33" s="200"/>
      <c r="Z33" s="200"/>
      <c r="AA33" s="200">
        <f t="shared" si="10"/>
        <v>0</v>
      </c>
      <c r="AB33" s="200">
        <f t="shared" si="11"/>
        <v>0</v>
      </c>
      <c r="AC33" s="200"/>
      <c r="AD33" s="200"/>
      <c r="AE33" s="200"/>
      <c r="AF33" s="200"/>
      <c r="AG33" s="200"/>
      <c r="AH33" s="200"/>
      <c r="AI33" s="200"/>
      <c r="AJ33" s="200">
        <f t="shared" si="19"/>
        <v>24252032</v>
      </c>
      <c r="AK33" s="200">
        <f t="shared" si="12"/>
        <v>3026700</v>
      </c>
      <c r="AL33" s="200">
        <f t="shared" si="14"/>
        <v>0</v>
      </c>
      <c r="AM33" s="200">
        <f t="shared" si="15"/>
        <v>1513350</v>
      </c>
      <c r="AN33" s="200">
        <f t="shared" si="16"/>
        <v>19711982</v>
      </c>
      <c r="AO33" s="200">
        <f t="shared" si="13"/>
        <v>0</v>
      </c>
      <c r="AP33" s="201">
        <f t="shared" si="2"/>
        <v>0.23380027558649588</v>
      </c>
      <c r="AQ33" s="251">
        <f t="shared" si="3"/>
        <v>0</v>
      </c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</row>
    <row r="34" spans="1:107" s="212" customFormat="1" ht="17.25" customHeight="1">
      <c r="A34" s="208">
        <f t="shared" si="23"/>
        <v>23</v>
      </c>
      <c r="B34" s="209" t="s">
        <v>86</v>
      </c>
      <c r="C34" s="210">
        <f t="shared" si="4"/>
        <v>1233591</v>
      </c>
      <c r="D34" s="210">
        <v>123359</v>
      </c>
      <c r="E34" s="210"/>
      <c r="F34" s="210">
        <v>61679</v>
      </c>
      <c r="G34" s="210">
        <v>1048553</v>
      </c>
      <c r="H34" s="210"/>
      <c r="I34" s="210">
        <f t="shared" si="5"/>
        <v>1233591</v>
      </c>
      <c r="J34" s="210">
        <f>D34</f>
        <v>123359</v>
      </c>
      <c r="K34" s="210"/>
      <c r="L34" s="210">
        <f>F34</f>
        <v>61679</v>
      </c>
      <c r="M34" s="210">
        <f t="shared" si="6"/>
        <v>1048553</v>
      </c>
      <c r="N34" s="210">
        <f t="shared" si="7"/>
        <v>100792</v>
      </c>
      <c r="O34" s="210">
        <f t="shared" si="8"/>
        <v>1048553</v>
      </c>
      <c r="P34" s="210">
        <f>T34+V34</f>
        <v>100792</v>
      </c>
      <c r="Q34" s="210">
        <v>10</v>
      </c>
      <c r="R34" s="210">
        <v>104855</v>
      </c>
      <c r="S34" s="210">
        <v>874330</v>
      </c>
      <c r="T34" s="210">
        <v>82134</v>
      </c>
      <c r="U34" s="210">
        <v>69368</v>
      </c>
      <c r="V34" s="210">
        <v>18658</v>
      </c>
      <c r="W34" s="210">
        <v>23</v>
      </c>
      <c r="X34" s="210"/>
      <c r="Y34" s="210"/>
      <c r="Z34" s="210"/>
      <c r="AA34" s="210">
        <f t="shared" si="10"/>
        <v>0</v>
      </c>
      <c r="AB34" s="210">
        <f t="shared" si="11"/>
        <v>0</v>
      </c>
      <c r="AC34" s="210"/>
      <c r="AD34" s="210"/>
      <c r="AE34" s="210"/>
      <c r="AF34" s="210"/>
      <c r="AG34" s="210"/>
      <c r="AH34" s="210"/>
      <c r="AI34" s="210"/>
      <c r="AJ34" s="210">
        <f t="shared" si="19"/>
        <v>0</v>
      </c>
      <c r="AK34" s="210">
        <f t="shared" si="12"/>
        <v>0</v>
      </c>
      <c r="AL34" s="210">
        <f t="shared" si="14"/>
        <v>0</v>
      </c>
      <c r="AM34" s="210">
        <f t="shared" si="15"/>
        <v>0</v>
      </c>
      <c r="AN34" s="210">
        <f t="shared" si="16"/>
        <v>0</v>
      </c>
      <c r="AO34" s="210">
        <f t="shared" si="13"/>
        <v>0</v>
      </c>
      <c r="AP34" s="236">
        <f t="shared" si="2"/>
        <v>1</v>
      </c>
      <c r="AQ34" s="251">
        <f t="shared" si="3"/>
        <v>0</v>
      </c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</row>
    <row r="35" spans="1:43" s="219" customFormat="1" ht="17.25" customHeight="1">
      <c r="A35" s="213" t="s">
        <v>117</v>
      </c>
      <c r="B35" s="214" t="s">
        <v>65</v>
      </c>
      <c r="C35" s="215">
        <f>SUM(C36:C40)</f>
        <v>440637838</v>
      </c>
      <c r="D35" s="215">
        <f aca="true" t="shared" si="24" ref="D35:AO35">SUM(D36:D40)</f>
        <v>40886532.3</v>
      </c>
      <c r="E35" s="215">
        <f t="shared" si="24"/>
        <v>2827062</v>
      </c>
      <c r="F35" s="215">
        <f t="shared" si="24"/>
        <v>18493659.15</v>
      </c>
      <c r="G35" s="215">
        <f>SUM(G36:G40)</f>
        <v>344042762.54999995</v>
      </c>
      <c r="H35" s="215">
        <f t="shared" si="24"/>
        <v>34387822</v>
      </c>
      <c r="I35" s="215">
        <f t="shared" si="24"/>
        <v>303937717</v>
      </c>
      <c r="J35" s="215">
        <f t="shared" si="24"/>
        <v>28561314</v>
      </c>
      <c r="K35" s="215">
        <f t="shared" si="24"/>
        <v>4170241</v>
      </c>
      <c r="L35" s="215">
        <f t="shared" si="24"/>
        <v>4025471</v>
      </c>
      <c r="M35" s="215">
        <f t="shared" si="24"/>
        <v>267180691</v>
      </c>
      <c r="N35" s="215">
        <f t="shared" si="24"/>
        <v>1380828</v>
      </c>
      <c r="O35" s="215">
        <f>SUM(O36:O40)</f>
        <v>240735344</v>
      </c>
      <c r="P35" s="215">
        <f t="shared" si="24"/>
        <v>1179680</v>
      </c>
      <c r="Q35" s="215">
        <f>SUM(Q36:Q40)</f>
        <v>202</v>
      </c>
      <c r="R35" s="215">
        <f t="shared" si="24"/>
        <v>14805296</v>
      </c>
      <c r="S35" s="215">
        <f t="shared" si="24"/>
        <v>62348153</v>
      </c>
      <c r="T35" s="215">
        <f t="shared" si="24"/>
        <v>559998</v>
      </c>
      <c r="U35" s="215">
        <f t="shared" si="24"/>
        <v>109798185</v>
      </c>
      <c r="V35" s="215">
        <f t="shared" si="24"/>
        <v>387783</v>
      </c>
      <c r="W35" s="215">
        <f t="shared" si="24"/>
        <v>16682</v>
      </c>
      <c r="X35" s="215">
        <f>SUM(X36:X40)</f>
        <v>11798139</v>
      </c>
      <c r="Y35" s="215">
        <f t="shared" si="24"/>
        <v>41682</v>
      </c>
      <c r="Z35" s="215">
        <f t="shared" si="24"/>
        <v>4097</v>
      </c>
      <c r="AA35" s="215">
        <f t="shared" si="24"/>
        <v>14647208</v>
      </c>
      <c r="AB35" s="215">
        <f t="shared" si="24"/>
        <v>159466</v>
      </c>
      <c r="AC35" s="215">
        <f t="shared" si="24"/>
        <v>124</v>
      </c>
      <c r="AD35" s="215">
        <f t="shared" si="24"/>
        <v>0</v>
      </c>
      <c r="AE35" s="215">
        <f t="shared" si="24"/>
        <v>0</v>
      </c>
      <c r="AF35" s="215">
        <f t="shared" si="24"/>
        <v>0</v>
      </c>
      <c r="AG35" s="215">
        <f t="shared" si="24"/>
        <v>0</v>
      </c>
      <c r="AH35" s="215">
        <f t="shared" si="24"/>
        <v>0</v>
      </c>
      <c r="AI35" s="215">
        <f t="shared" si="24"/>
        <v>0</v>
      </c>
      <c r="AJ35" s="215">
        <f t="shared" si="24"/>
        <v>136700121</v>
      </c>
      <c r="AK35" s="215">
        <f t="shared" si="24"/>
        <v>12325218.3</v>
      </c>
      <c r="AL35" s="215">
        <f t="shared" si="24"/>
        <v>-1343179</v>
      </c>
      <c r="AM35" s="215">
        <f t="shared" si="24"/>
        <v>14468188.15</v>
      </c>
      <c r="AN35" s="215">
        <f t="shared" si="24"/>
        <v>76862071.54999998</v>
      </c>
      <c r="AO35" s="215">
        <f t="shared" si="24"/>
        <v>34387822</v>
      </c>
      <c r="AP35" s="216">
        <f t="shared" si="2"/>
        <v>0.7765915173442152</v>
      </c>
      <c r="AQ35" s="251">
        <f t="shared" si="3"/>
        <v>0</v>
      </c>
    </row>
    <row r="36" spans="1:107" s="224" customFormat="1" ht="17.25" customHeight="1">
      <c r="A36" s="220">
        <v>24</v>
      </c>
      <c r="B36" s="221" t="s">
        <v>87</v>
      </c>
      <c r="C36" s="222">
        <f t="shared" si="4"/>
        <v>144915989</v>
      </c>
      <c r="D36" s="222">
        <v>10933000</v>
      </c>
      <c r="E36" s="222">
        <f>2425062+402000</f>
        <v>2827062</v>
      </c>
      <c r="F36" s="222">
        <v>5667000</v>
      </c>
      <c r="G36" s="222">
        <v>91245480</v>
      </c>
      <c r="H36" s="222">
        <f>145094931-110672542-178942</f>
        <v>34243447</v>
      </c>
      <c r="I36" s="222">
        <f t="shared" si="5"/>
        <v>72601252</v>
      </c>
      <c r="J36" s="222">
        <v>9154920</v>
      </c>
      <c r="K36" s="222">
        <f>2850000+402000</f>
        <v>3252000</v>
      </c>
      <c r="L36" s="222"/>
      <c r="M36" s="222">
        <f t="shared" si="6"/>
        <v>60194332</v>
      </c>
      <c r="N36" s="222">
        <f t="shared" si="7"/>
        <v>259120</v>
      </c>
      <c r="O36" s="222">
        <v>53783710</v>
      </c>
      <c r="P36" s="222">
        <v>231899</v>
      </c>
      <c r="Q36" s="222">
        <v>19</v>
      </c>
      <c r="R36" s="222"/>
      <c r="S36" s="222"/>
      <c r="T36" s="222"/>
      <c r="U36" s="222"/>
      <c r="V36" s="222"/>
      <c r="W36" s="222"/>
      <c r="X36" s="222">
        <v>6410622</v>
      </c>
      <c r="Y36" s="222">
        <v>27221</v>
      </c>
      <c r="Z36" s="222">
        <v>2149</v>
      </c>
      <c r="AA36" s="222">
        <f t="shared" si="10"/>
        <v>0</v>
      </c>
      <c r="AB36" s="222">
        <f t="shared" si="11"/>
        <v>0</v>
      </c>
      <c r="AC36" s="222"/>
      <c r="AD36" s="222"/>
      <c r="AE36" s="222"/>
      <c r="AF36" s="222"/>
      <c r="AG36" s="222"/>
      <c r="AH36" s="222"/>
      <c r="AI36" s="222"/>
      <c r="AJ36" s="222">
        <f t="shared" si="19"/>
        <v>72314737</v>
      </c>
      <c r="AK36" s="222">
        <f t="shared" si="12"/>
        <v>1778080</v>
      </c>
      <c r="AL36" s="222">
        <f t="shared" si="14"/>
        <v>-424938</v>
      </c>
      <c r="AM36" s="222">
        <f t="shared" si="15"/>
        <v>5667000</v>
      </c>
      <c r="AN36" s="222">
        <f t="shared" si="16"/>
        <v>31051148</v>
      </c>
      <c r="AO36" s="222">
        <f t="shared" si="13"/>
        <v>34243447</v>
      </c>
      <c r="AP36" s="223">
        <f t="shared" si="2"/>
        <v>0.6596965899023163</v>
      </c>
      <c r="AQ36" s="251">
        <f t="shared" si="3"/>
        <v>0</v>
      </c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</row>
    <row r="37" spans="1:107" s="203" customFormat="1" ht="17.25" customHeight="1">
      <c r="A37" s="43">
        <f>A36+1</f>
        <v>25</v>
      </c>
      <c r="B37" s="44" t="s">
        <v>88</v>
      </c>
      <c r="C37" s="200">
        <f>SUM(D37:H37)</f>
        <v>17908060</v>
      </c>
      <c r="D37" s="200">
        <f>17908060*10%</f>
        <v>1790806</v>
      </c>
      <c r="E37" s="200"/>
      <c r="F37" s="200">
        <f>D37/2</f>
        <v>895403</v>
      </c>
      <c r="G37" s="200">
        <f>17908060*85%</f>
        <v>15221851</v>
      </c>
      <c r="H37" s="200"/>
      <c r="I37" s="200">
        <f t="shared" si="5"/>
        <v>22616860</v>
      </c>
      <c r="J37" s="200">
        <v>1843410</v>
      </c>
      <c r="K37" s="200"/>
      <c r="L37" s="200"/>
      <c r="M37" s="200">
        <f t="shared" si="6"/>
        <v>20773450</v>
      </c>
      <c r="N37" s="200">
        <f t="shared" si="7"/>
        <v>211140</v>
      </c>
      <c r="O37" s="200">
        <f t="shared" si="8"/>
        <v>20141040</v>
      </c>
      <c r="P37" s="200">
        <f t="shared" si="9"/>
        <v>202899</v>
      </c>
      <c r="Q37" s="200">
        <v>22</v>
      </c>
      <c r="R37" s="200">
        <v>2014100</v>
      </c>
      <c r="S37" s="200">
        <v>18126940</v>
      </c>
      <c r="T37" s="200">
        <v>202899</v>
      </c>
      <c r="U37" s="200"/>
      <c r="V37" s="200"/>
      <c r="W37" s="200"/>
      <c r="X37" s="200"/>
      <c r="Y37" s="200"/>
      <c r="Z37" s="200"/>
      <c r="AA37" s="200">
        <v>632410</v>
      </c>
      <c r="AB37" s="200">
        <v>8241</v>
      </c>
      <c r="AC37" s="200">
        <v>7</v>
      </c>
      <c r="AD37" s="200"/>
      <c r="AE37" s="200"/>
      <c r="AF37" s="200"/>
      <c r="AG37" s="200"/>
      <c r="AH37" s="200"/>
      <c r="AI37" s="200"/>
      <c r="AJ37" s="200">
        <f t="shared" si="19"/>
        <v>-4708800</v>
      </c>
      <c r="AK37" s="200">
        <f t="shared" si="12"/>
        <v>-52604</v>
      </c>
      <c r="AL37" s="200">
        <f t="shared" si="14"/>
        <v>0</v>
      </c>
      <c r="AM37" s="200">
        <f t="shared" si="15"/>
        <v>895403</v>
      </c>
      <c r="AN37" s="200">
        <f t="shared" si="16"/>
        <v>-5551599</v>
      </c>
      <c r="AO37" s="200">
        <f t="shared" si="13"/>
        <v>0</v>
      </c>
      <c r="AP37" s="201">
        <f t="shared" si="2"/>
        <v>1.3647124781342295</v>
      </c>
      <c r="AQ37" s="251">
        <f t="shared" si="3"/>
        <v>0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</row>
    <row r="38" spans="1:107" s="203" customFormat="1" ht="17.25" customHeight="1">
      <c r="A38" s="43">
        <f>A37+1</f>
        <v>26</v>
      </c>
      <c r="B38" s="44" t="s">
        <v>89</v>
      </c>
      <c r="C38" s="200">
        <f t="shared" si="4"/>
        <v>42960580</v>
      </c>
      <c r="D38" s="200">
        <v>4691843</v>
      </c>
      <c r="E38" s="200"/>
      <c r="F38" s="200">
        <v>195814</v>
      </c>
      <c r="G38" s="200">
        <v>38072923</v>
      </c>
      <c r="H38" s="200"/>
      <c r="I38" s="200">
        <f t="shared" si="5"/>
        <v>42764766</v>
      </c>
      <c r="J38" s="200">
        <v>4691843</v>
      </c>
      <c r="K38" s="200"/>
      <c r="L38" s="200"/>
      <c r="M38" s="200">
        <f t="shared" si="6"/>
        <v>38072923</v>
      </c>
      <c r="N38" s="200">
        <f>P38+Y38+AB38</f>
        <v>150482</v>
      </c>
      <c r="O38" s="200">
        <f t="shared" si="8"/>
        <v>35498996</v>
      </c>
      <c r="P38" s="200">
        <f t="shared" si="9"/>
        <v>147045</v>
      </c>
      <c r="Q38" s="200">
        <v>68</v>
      </c>
      <c r="R38" s="200">
        <v>806365</v>
      </c>
      <c r="S38" s="200">
        <v>27435344</v>
      </c>
      <c r="T38" s="200">
        <v>125375</v>
      </c>
      <c r="U38" s="200">
        <v>7257287</v>
      </c>
      <c r="V38" s="200">
        <v>21670</v>
      </c>
      <c r="W38" s="200">
        <v>556</v>
      </c>
      <c r="X38" s="200">
        <v>1907466</v>
      </c>
      <c r="Y38" s="200">
        <v>2450</v>
      </c>
      <c r="Z38" s="200">
        <v>112</v>
      </c>
      <c r="AA38" s="200">
        <v>666461</v>
      </c>
      <c r="AB38" s="200">
        <v>987</v>
      </c>
      <c r="AC38" s="200">
        <v>27</v>
      </c>
      <c r="AD38" s="200"/>
      <c r="AE38" s="200"/>
      <c r="AF38" s="200"/>
      <c r="AG38" s="200"/>
      <c r="AH38" s="200"/>
      <c r="AI38" s="200"/>
      <c r="AJ38" s="200">
        <f t="shared" si="19"/>
        <v>195814</v>
      </c>
      <c r="AK38" s="200">
        <f t="shared" si="12"/>
        <v>0</v>
      </c>
      <c r="AL38" s="200">
        <f t="shared" si="14"/>
        <v>0</v>
      </c>
      <c r="AM38" s="200">
        <f t="shared" si="15"/>
        <v>195814</v>
      </c>
      <c r="AN38" s="200">
        <f t="shared" si="16"/>
        <v>0</v>
      </c>
      <c r="AO38" s="200">
        <f t="shared" si="13"/>
        <v>0</v>
      </c>
      <c r="AP38" s="201">
        <f t="shared" si="2"/>
        <v>1</v>
      </c>
      <c r="AQ38" s="251">
        <f t="shared" si="3"/>
        <v>0</v>
      </c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</row>
    <row r="39" spans="1:107" s="203" customFormat="1" ht="17.25" customHeight="1">
      <c r="A39" s="43">
        <f>A38+1</f>
        <v>27</v>
      </c>
      <c r="B39" s="44" t="s">
        <v>90</v>
      </c>
      <c r="C39" s="200">
        <f t="shared" si="4"/>
        <v>63894146</v>
      </c>
      <c r="D39" s="200">
        <v>6374977</v>
      </c>
      <c r="E39" s="200"/>
      <c r="F39" s="200">
        <v>3187489</v>
      </c>
      <c r="G39" s="200">
        <v>54187305</v>
      </c>
      <c r="H39" s="200">
        <v>144375</v>
      </c>
      <c r="I39" s="200">
        <f t="shared" si="5"/>
        <v>43939073</v>
      </c>
      <c r="J39" s="200">
        <v>2897216</v>
      </c>
      <c r="K39" s="200"/>
      <c r="L39" s="200">
        <v>4025471</v>
      </c>
      <c r="M39" s="200">
        <f t="shared" si="6"/>
        <v>37016386</v>
      </c>
      <c r="N39" s="200">
        <f t="shared" si="7"/>
        <v>448752</v>
      </c>
      <c r="O39" s="200">
        <f t="shared" si="8"/>
        <v>23445747</v>
      </c>
      <c r="P39" s="200">
        <f t="shared" si="9"/>
        <v>295357</v>
      </c>
      <c r="Q39" s="200">
        <v>37</v>
      </c>
      <c r="R39" s="200">
        <v>2344575</v>
      </c>
      <c r="S39" s="200">
        <v>16785869</v>
      </c>
      <c r="T39" s="200">
        <v>231724</v>
      </c>
      <c r="U39" s="200">
        <v>4315303</v>
      </c>
      <c r="V39" s="200">
        <v>63633</v>
      </c>
      <c r="W39" s="200">
        <v>3009</v>
      </c>
      <c r="X39" s="200">
        <v>222302</v>
      </c>
      <c r="Y39" s="200">
        <v>3157</v>
      </c>
      <c r="Z39" s="200">
        <v>7</v>
      </c>
      <c r="AA39" s="200">
        <v>13348337</v>
      </c>
      <c r="AB39" s="200">
        <v>150238</v>
      </c>
      <c r="AC39" s="200">
        <v>90</v>
      </c>
      <c r="AD39" s="200"/>
      <c r="AE39" s="200"/>
      <c r="AF39" s="200"/>
      <c r="AG39" s="200"/>
      <c r="AH39" s="200"/>
      <c r="AI39" s="200"/>
      <c r="AJ39" s="200">
        <f t="shared" si="19"/>
        <v>19955073</v>
      </c>
      <c r="AK39" s="200">
        <f t="shared" si="12"/>
        <v>3477761</v>
      </c>
      <c r="AL39" s="200">
        <f t="shared" si="14"/>
        <v>0</v>
      </c>
      <c r="AM39" s="200">
        <f t="shared" si="15"/>
        <v>-837982</v>
      </c>
      <c r="AN39" s="200">
        <f t="shared" si="16"/>
        <v>17170919</v>
      </c>
      <c r="AO39" s="200">
        <f t="shared" si="13"/>
        <v>144375</v>
      </c>
      <c r="AP39" s="201">
        <f t="shared" si="2"/>
        <v>0.6831191549385968</v>
      </c>
      <c r="AQ39" s="251">
        <f t="shared" si="3"/>
        <v>0</v>
      </c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</row>
    <row r="40" spans="1:107" s="227" customFormat="1" ht="17.25" customHeight="1">
      <c r="A40" s="76">
        <f>A39+1</f>
        <v>28</v>
      </c>
      <c r="B40" s="77" t="s">
        <v>91</v>
      </c>
      <c r="C40" s="225">
        <f t="shared" si="4"/>
        <v>170959063</v>
      </c>
      <c r="D40" s="225">
        <f>170959063*10%</f>
        <v>17095906.3</v>
      </c>
      <c r="E40" s="225"/>
      <c r="F40" s="225">
        <f>D40/2</f>
        <v>8547953.15</v>
      </c>
      <c r="G40" s="225">
        <f>170959063*85%</f>
        <v>145315203.54999998</v>
      </c>
      <c r="H40" s="225"/>
      <c r="I40" s="225">
        <f t="shared" si="5"/>
        <v>122015766</v>
      </c>
      <c r="J40" s="225">
        <v>9973925</v>
      </c>
      <c r="K40" s="225">
        <v>918241</v>
      </c>
      <c r="L40" s="225"/>
      <c r="M40" s="225">
        <f t="shared" si="6"/>
        <v>111123600</v>
      </c>
      <c r="N40" s="225">
        <f t="shared" si="7"/>
        <v>311334</v>
      </c>
      <c r="O40" s="225">
        <f t="shared" si="8"/>
        <v>107865851</v>
      </c>
      <c r="P40" s="225">
        <f t="shared" si="9"/>
        <v>302480</v>
      </c>
      <c r="Q40" s="225">
        <v>56</v>
      </c>
      <c r="R40" s="225">
        <v>9640256</v>
      </c>
      <c r="S40" s="225"/>
      <c r="T40" s="225"/>
      <c r="U40" s="225">
        <v>98225595</v>
      </c>
      <c r="V40" s="225">
        <v>302480</v>
      </c>
      <c r="W40" s="225">
        <v>13117</v>
      </c>
      <c r="X40" s="225">
        <v>3257749</v>
      </c>
      <c r="Y40" s="225">
        <v>8854</v>
      </c>
      <c r="Z40" s="225">
        <v>1829</v>
      </c>
      <c r="AA40" s="225">
        <f t="shared" si="10"/>
        <v>0</v>
      </c>
      <c r="AB40" s="225">
        <f t="shared" si="11"/>
        <v>0</v>
      </c>
      <c r="AC40" s="225"/>
      <c r="AD40" s="225"/>
      <c r="AE40" s="225"/>
      <c r="AF40" s="225"/>
      <c r="AG40" s="225"/>
      <c r="AH40" s="225"/>
      <c r="AI40" s="225"/>
      <c r="AJ40" s="225">
        <f t="shared" si="19"/>
        <v>48943296.999999985</v>
      </c>
      <c r="AK40" s="225">
        <f t="shared" si="12"/>
        <v>7121981.300000001</v>
      </c>
      <c r="AL40" s="225">
        <f t="shared" si="14"/>
        <v>-918241</v>
      </c>
      <c r="AM40" s="225">
        <f t="shared" si="15"/>
        <v>8547953.15</v>
      </c>
      <c r="AN40" s="225">
        <f t="shared" si="16"/>
        <v>34191603.54999998</v>
      </c>
      <c r="AO40" s="225">
        <f t="shared" si="13"/>
        <v>0</v>
      </c>
      <c r="AP40" s="226">
        <f t="shared" si="2"/>
        <v>0.764707320949832</v>
      </c>
      <c r="AQ40" s="251">
        <f t="shared" si="3"/>
        <v>0</v>
      </c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</row>
    <row r="41" spans="1:107" s="234" customFormat="1" ht="17.25" customHeight="1">
      <c r="A41" s="228" t="s">
        <v>118</v>
      </c>
      <c r="B41" s="229" t="s">
        <v>66</v>
      </c>
      <c r="C41" s="230">
        <f>SUM(C42:C43)</f>
        <v>27220985</v>
      </c>
      <c r="D41" s="230">
        <f aca="true" t="shared" si="25" ref="D41:AO41">SUM(D42:D43)</f>
        <v>3968072</v>
      </c>
      <c r="E41" s="230">
        <f t="shared" si="25"/>
        <v>0</v>
      </c>
      <c r="F41" s="230">
        <f t="shared" si="25"/>
        <v>900000</v>
      </c>
      <c r="G41" s="230">
        <f>SUM(G42:G43)</f>
        <v>23237070</v>
      </c>
      <c r="H41" s="230">
        <f t="shared" si="25"/>
        <v>-884157</v>
      </c>
      <c r="I41" s="230">
        <f t="shared" si="25"/>
        <v>24680727</v>
      </c>
      <c r="J41" s="230">
        <f t="shared" si="25"/>
        <v>2083713</v>
      </c>
      <c r="K41" s="230">
        <f t="shared" si="25"/>
        <v>1062999</v>
      </c>
      <c r="L41" s="230">
        <f t="shared" si="25"/>
        <v>0</v>
      </c>
      <c r="M41" s="215">
        <f t="shared" si="25"/>
        <v>21534015</v>
      </c>
      <c r="N41" s="230">
        <f t="shared" si="25"/>
        <v>180486</v>
      </c>
      <c r="O41" s="230">
        <f>SUM(O42:O43)</f>
        <v>21534015</v>
      </c>
      <c r="P41" s="230">
        <f t="shared" si="25"/>
        <v>180486</v>
      </c>
      <c r="Q41" s="230">
        <f>SUM(Q42:Q43)</f>
        <v>15</v>
      </c>
      <c r="R41" s="230">
        <f t="shared" si="25"/>
        <v>1359695</v>
      </c>
      <c r="S41" s="230">
        <f t="shared" si="25"/>
        <v>10230285</v>
      </c>
      <c r="T41" s="230">
        <f t="shared" si="25"/>
        <v>106108</v>
      </c>
      <c r="U41" s="230">
        <f t="shared" si="25"/>
        <v>2006965</v>
      </c>
      <c r="V41" s="230">
        <f t="shared" si="25"/>
        <v>31862</v>
      </c>
      <c r="W41" s="230">
        <f t="shared" si="25"/>
        <v>3556</v>
      </c>
      <c r="X41" s="230">
        <f t="shared" si="25"/>
        <v>0</v>
      </c>
      <c r="Y41" s="230">
        <f t="shared" si="25"/>
        <v>0</v>
      </c>
      <c r="Z41" s="230">
        <f t="shared" si="25"/>
        <v>0</v>
      </c>
      <c r="AA41" s="230">
        <f t="shared" si="25"/>
        <v>0</v>
      </c>
      <c r="AB41" s="230">
        <f t="shared" si="25"/>
        <v>0</v>
      </c>
      <c r="AC41" s="230">
        <f t="shared" si="25"/>
        <v>0</v>
      </c>
      <c r="AD41" s="230">
        <f t="shared" si="25"/>
        <v>0</v>
      </c>
      <c r="AE41" s="230">
        <f t="shared" si="25"/>
        <v>0</v>
      </c>
      <c r="AF41" s="230">
        <f t="shared" si="25"/>
        <v>0</v>
      </c>
      <c r="AG41" s="230">
        <f t="shared" si="25"/>
        <v>0</v>
      </c>
      <c r="AH41" s="230">
        <f t="shared" si="25"/>
        <v>0</v>
      </c>
      <c r="AI41" s="230">
        <f t="shared" si="25"/>
        <v>0</v>
      </c>
      <c r="AJ41" s="230">
        <f t="shared" si="25"/>
        <v>2540258</v>
      </c>
      <c r="AK41" s="230">
        <f t="shared" si="25"/>
        <v>1884359</v>
      </c>
      <c r="AL41" s="230">
        <f t="shared" si="25"/>
        <v>-1062999</v>
      </c>
      <c r="AM41" s="230">
        <f t="shared" si="25"/>
        <v>900000</v>
      </c>
      <c r="AN41" s="230">
        <f t="shared" si="25"/>
        <v>1703055</v>
      </c>
      <c r="AO41" s="230">
        <f t="shared" si="25"/>
        <v>-884157</v>
      </c>
      <c r="AP41" s="230">
        <f>SUM(AP42:AP43)</f>
        <v>1.8886892156862745</v>
      </c>
      <c r="AQ41" s="251">
        <f t="shared" si="3"/>
        <v>0</v>
      </c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</row>
    <row r="42" spans="1:107" s="199" customFormat="1" ht="17.25" customHeight="1">
      <c r="A42" s="41">
        <v>29</v>
      </c>
      <c r="B42" s="42" t="s">
        <v>92</v>
      </c>
      <c r="C42" s="193">
        <f>SUM(D42:H42)</f>
        <v>9220985</v>
      </c>
      <c r="D42" s="193">
        <v>2168072</v>
      </c>
      <c r="E42" s="193"/>
      <c r="F42" s="193"/>
      <c r="G42" s="193">
        <v>7937070</v>
      </c>
      <c r="H42" s="193">
        <f>9220985-10105142</f>
        <v>-884157</v>
      </c>
      <c r="I42" s="193">
        <f t="shared" si="5"/>
        <v>10105142</v>
      </c>
      <c r="J42" s="193">
        <v>1105073</v>
      </c>
      <c r="K42" s="193">
        <v>1062999</v>
      </c>
      <c r="L42" s="193"/>
      <c r="M42" s="238">
        <f t="shared" si="6"/>
        <v>7937070</v>
      </c>
      <c r="N42" s="193">
        <f t="shared" si="7"/>
        <v>42516</v>
      </c>
      <c r="O42" s="193">
        <v>7937070</v>
      </c>
      <c r="P42" s="193">
        <v>42516</v>
      </c>
      <c r="Q42" s="193">
        <v>5</v>
      </c>
      <c r="R42" s="193"/>
      <c r="S42" s="193">
        <v>0</v>
      </c>
      <c r="T42" s="193">
        <v>0</v>
      </c>
      <c r="U42" s="193"/>
      <c r="V42" s="193"/>
      <c r="W42" s="193"/>
      <c r="X42" s="193"/>
      <c r="Y42" s="193"/>
      <c r="Z42" s="193"/>
      <c r="AA42" s="193">
        <f t="shared" si="10"/>
        <v>0</v>
      </c>
      <c r="AB42" s="193">
        <f t="shared" si="11"/>
        <v>0</v>
      </c>
      <c r="AC42" s="193"/>
      <c r="AD42" s="193"/>
      <c r="AE42" s="193"/>
      <c r="AF42" s="193"/>
      <c r="AG42" s="193"/>
      <c r="AH42" s="193"/>
      <c r="AI42" s="193"/>
      <c r="AJ42" s="193">
        <f t="shared" si="19"/>
        <v>-884157</v>
      </c>
      <c r="AK42" s="193">
        <f t="shared" si="12"/>
        <v>1062999</v>
      </c>
      <c r="AL42" s="193">
        <f t="shared" si="14"/>
        <v>-1062999</v>
      </c>
      <c r="AM42" s="193">
        <f t="shared" si="15"/>
        <v>0</v>
      </c>
      <c r="AN42" s="193">
        <f t="shared" si="16"/>
        <v>0</v>
      </c>
      <c r="AO42" s="193">
        <f t="shared" si="13"/>
        <v>-884157</v>
      </c>
      <c r="AP42" s="235">
        <f t="shared" si="2"/>
        <v>1</v>
      </c>
      <c r="AQ42" s="251">
        <f t="shared" si="3"/>
        <v>0</v>
      </c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</row>
    <row r="43" spans="1:107" s="203" customFormat="1" ht="17.25" customHeight="1">
      <c r="A43" s="43">
        <v>30</v>
      </c>
      <c r="B43" s="44" t="s">
        <v>93</v>
      </c>
      <c r="C43" s="200">
        <f t="shared" si="4"/>
        <v>18000000</v>
      </c>
      <c r="D43" s="200">
        <v>1800000</v>
      </c>
      <c r="E43" s="200"/>
      <c r="F43" s="200">
        <v>900000</v>
      </c>
      <c r="G43" s="200">
        <v>15300000</v>
      </c>
      <c r="H43" s="200"/>
      <c r="I43" s="200">
        <f t="shared" si="5"/>
        <v>14575585</v>
      </c>
      <c r="J43" s="200">
        <v>978640</v>
      </c>
      <c r="K43" s="200"/>
      <c r="L43" s="200"/>
      <c r="M43" s="200">
        <f t="shared" si="6"/>
        <v>13596945</v>
      </c>
      <c r="N43" s="200">
        <f t="shared" si="7"/>
        <v>137970</v>
      </c>
      <c r="O43" s="200">
        <f t="shared" si="8"/>
        <v>13596945</v>
      </c>
      <c r="P43" s="200">
        <f t="shared" si="9"/>
        <v>137970</v>
      </c>
      <c r="Q43" s="200">
        <v>10</v>
      </c>
      <c r="R43" s="200">
        <v>1359695</v>
      </c>
      <c r="S43" s="200">
        <v>10230285</v>
      </c>
      <c r="T43" s="200">
        <v>106108</v>
      </c>
      <c r="U43" s="200">
        <v>2006965</v>
      </c>
      <c r="V43" s="200">
        <v>31862</v>
      </c>
      <c r="W43" s="200">
        <v>3556</v>
      </c>
      <c r="X43" s="200"/>
      <c r="Y43" s="200"/>
      <c r="Z43" s="200"/>
      <c r="AA43" s="200">
        <f t="shared" si="10"/>
        <v>0</v>
      </c>
      <c r="AB43" s="200">
        <f t="shared" si="11"/>
        <v>0</v>
      </c>
      <c r="AC43" s="200"/>
      <c r="AD43" s="200"/>
      <c r="AE43" s="200"/>
      <c r="AF43" s="200"/>
      <c r="AG43" s="200"/>
      <c r="AH43" s="200"/>
      <c r="AI43" s="200"/>
      <c r="AJ43" s="200">
        <f t="shared" si="19"/>
        <v>3424415</v>
      </c>
      <c r="AK43" s="200">
        <f t="shared" si="12"/>
        <v>821360</v>
      </c>
      <c r="AL43" s="200">
        <f t="shared" si="14"/>
        <v>0</v>
      </c>
      <c r="AM43" s="200">
        <f t="shared" si="15"/>
        <v>900000</v>
      </c>
      <c r="AN43" s="200">
        <f t="shared" si="16"/>
        <v>1703055</v>
      </c>
      <c r="AO43" s="200">
        <f t="shared" si="13"/>
        <v>0</v>
      </c>
      <c r="AP43" s="201">
        <f t="shared" si="2"/>
        <v>0.8886892156862745</v>
      </c>
      <c r="AQ43" s="251">
        <f t="shared" si="3"/>
        <v>0</v>
      </c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</row>
    <row r="44" spans="1:107" s="234" customFormat="1" ht="17.25" customHeight="1">
      <c r="A44" s="239"/>
      <c r="B44" s="240" t="s">
        <v>60</v>
      </c>
      <c r="C44" s="241">
        <f>C8+C13+C21+C27+C35+C41</f>
        <v>1062538096.7</v>
      </c>
      <c r="D44" s="241">
        <f aca="true" t="shared" si="26" ref="D44:AO44">D8+D13+D21+D27+D35+D41</f>
        <v>88404821.1</v>
      </c>
      <c r="E44" s="241">
        <f t="shared" si="26"/>
        <v>15407081</v>
      </c>
      <c r="F44" s="241">
        <f t="shared" si="26"/>
        <v>41589171.95</v>
      </c>
      <c r="G44" s="241">
        <f t="shared" si="26"/>
        <v>862421609.65</v>
      </c>
      <c r="H44" s="241">
        <f t="shared" si="26"/>
        <v>54715413</v>
      </c>
      <c r="I44" s="241">
        <f t="shared" si="26"/>
        <v>718866239</v>
      </c>
      <c r="J44" s="241">
        <f t="shared" si="26"/>
        <v>54013037</v>
      </c>
      <c r="K44" s="241">
        <f t="shared" si="26"/>
        <v>6691164</v>
      </c>
      <c r="L44" s="241">
        <f t="shared" si="26"/>
        <v>4087150</v>
      </c>
      <c r="M44" s="241">
        <f>M8+M13+M21+M27+M35+M41</f>
        <v>654074888</v>
      </c>
      <c r="N44" s="241">
        <f t="shared" si="26"/>
        <v>3370612</v>
      </c>
      <c r="O44" s="241">
        <f t="shared" si="26"/>
        <v>349267826</v>
      </c>
      <c r="P44" s="241">
        <f t="shared" si="26"/>
        <v>1942859</v>
      </c>
      <c r="Q44" s="241">
        <f>Q8+Q13+Q21+Q27+Q35+Q41</f>
        <v>326</v>
      </c>
      <c r="R44" s="241">
        <f t="shared" si="26"/>
        <v>23477209</v>
      </c>
      <c r="S44" s="241">
        <f t="shared" si="26"/>
        <v>81636031</v>
      </c>
      <c r="T44" s="241">
        <f t="shared" si="26"/>
        <v>788986</v>
      </c>
      <c r="U44" s="241">
        <f t="shared" si="26"/>
        <v>171578146</v>
      </c>
      <c r="V44" s="241">
        <f t="shared" si="26"/>
        <v>814755</v>
      </c>
      <c r="W44" s="241">
        <f t="shared" si="26"/>
        <v>51353</v>
      </c>
      <c r="X44" s="241">
        <f t="shared" si="26"/>
        <v>109855625</v>
      </c>
      <c r="Y44" s="241">
        <f t="shared" si="26"/>
        <v>595356</v>
      </c>
      <c r="Z44" s="241">
        <f>Z8+Z13+Z21+Z27+Z35+Z41</f>
        <v>110908</v>
      </c>
      <c r="AA44" s="241">
        <f t="shared" si="26"/>
        <v>194951437</v>
      </c>
      <c r="AB44" s="241">
        <f t="shared" si="26"/>
        <v>832397</v>
      </c>
      <c r="AC44" s="241">
        <f t="shared" si="26"/>
        <v>191</v>
      </c>
      <c r="AD44" s="241">
        <f t="shared" si="26"/>
        <v>12916750</v>
      </c>
      <c r="AE44" s="241">
        <f t="shared" si="26"/>
        <v>0</v>
      </c>
      <c r="AF44" s="241">
        <f t="shared" si="26"/>
        <v>0</v>
      </c>
      <c r="AG44" s="241">
        <f t="shared" si="26"/>
        <v>165615441</v>
      </c>
      <c r="AH44" s="241">
        <f t="shared" si="26"/>
        <v>651176</v>
      </c>
      <c r="AI44" s="241">
        <f t="shared" si="26"/>
        <v>138213</v>
      </c>
      <c r="AJ44" s="241">
        <f t="shared" si="26"/>
        <v>343671857.7</v>
      </c>
      <c r="AK44" s="241">
        <f t="shared" si="26"/>
        <v>34391784.1</v>
      </c>
      <c r="AL44" s="241">
        <f t="shared" si="26"/>
        <v>8715917</v>
      </c>
      <c r="AM44" s="241">
        <f t="shared" si="26"/>
        <v>37502021.95</v>
      </c>
      <c r="AN44" s="241">
        <f t="shared" si="26"/>
        <v>208346721.64999998</v>
      </c>
      <c r="AO44" s="241">
        <f t="shared" si="26"/>
        <v>54715413</v>
      </c>
      <c r="AP44" s="242">
        <f>M44/G44</f>
        <v>0.7584166267186253</v>
      </c>
      <c r="AQ44" s="251">
        <f t="shared" si="3"/>
        <v>0</v>
      </c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</row>
    <row r="45" spans="3:107" s="244" customFormat="1" ht="17.25" customHeight="1">
      <c r="C45" s="245"/>
      <c r="D45" s="245">
        <f>D44+E44+F44+G44</f>
        <v>1007822683.7</v>
      </c>
      <c r="F45" s="245"/>
      <c r="G45" s="245"/>
      <c r="H45" s="245"/>
      <c r="I45" s="245"/>
      <c r="J45" s="245"/>
      <c r="K45" s="245"/>
      <c r="M45" s="247">
        <f>M9+M10+M12+M14+M15+M17+M18+M22+M23+M25+M28+M33+M34+M36+M37+M38+M39+M40+M42+M43</f>
        <v>654074888</v>
      </c>
      <c r="N45" s="247"/>
      <c r="O45" s="247"/>
      <c r="P45" s="248"/>
      <c r="Q45" s="248"/>
      <c r="R45" s="248"/>
      <c r="S45" s="248"/>
      <c r="T45" s="248"/>
      <c r="U45" s="248"/>
      <c r="V45" s="248"/>
      <c r="W45" s="248">
        <f>W44+AI44</f>
        <v>189566</v>
      </c>
      <c r="X45" s="248"/>
      <c r="Y45" s="248"/>
      <c r="Z45" s="248"/>
      <c r="AA45" s="245"/>
      <c r="AI45" s="245">
        <f>AI10+AI14+AI17+AI22+AI28</f>
        <v>138213</v>
      </c>
      <c r="AP45" s="249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</row>
    <row r="46" spans="6:107" s="244" customFormat="1" ht="17.25" customHeight="1">
      <c r="F46" s="245"/>
      <c r="I46" s="244">
        <f>M44/G44</f>
        <v>0.7584166267186253</v>
      </c>
      <c r="M46" s="247">
        <f>O44+X44+AA44</f>
        <v>654074888</v>
      </c>
      <c r="N46" s="247"/>
      <c r="O46" s="247"/>
      <c r="P46" s="248"/>
      <c r="Q46" s="248"/>
      <c r="R46" s="248"/>
      <c r="S46" s="248"/>
      <c r="T46" s="248"/>
      <c r="U46" s="248"/>
      <c r="V46" s="248"/>
      <c r="W46" s="248">
        <f>W12+W14+W17+W22+W23+W28+W34+W38+W39+W40+W43</f>
        <v>51353</v>
      </c>
      <c r="X46" s="248"/>
      <c r="Y46" s="248"/>
      <c r="Z46" s="248"/>
      <c r="AP46" s="249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</row>
    <row r="47" spans="13:36" ht="17.25" customHeight="1">
      <c r="M47" s="15"/>
      <c r="N47" s="15"/>
      <c r="O47" s="15"/>
      <c r="P47" s="16"/>
      <c r="Q47" s="16"/>
      <c r="R47" s="16"/>
      <c r="S47" s="16"/>
      <c r="U47" s="16">
        <f>U44+AG44</f>
        <v>337193587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3:36" ht="17.25" customHeight="1">
      <c r="M48" s="15"/>
      <c r="N48" s="15"/>
      <c r="O48" s="15"/>
      <c r="P48" s="16"/>
      <c r="Q48" s="16"/>
      <c r="R48" s="16"/>
      <c r="S48" s="16"/>
      <c r="U48" s="16">
        <f>U47/W45</f>
        <v>1778.7661658736272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</sheetData>
  <sheetProtection/>
  <mergeCells count="47">
    <mergeCell ref="C1:H1"/>
    <mergeCell ref="O3:W3"/>
    <mergeCell ref="I1:AC1"/>
    <mergeCell ref="AJ1:AO1"/>
    <mergeCell ref="AO2:AO6"/>
    <mergeCell ref="AA4:AA6"/>
    <mergeCell ref="AB4:AB6"/>
    <mergeCell ref="E3:E6"/>
    <mergeCell ref="K2:K6"/>
    <mergeCell ref="AA3:AI3"/>
    <mergeCell ref="AD4:AI4"/>
    <mergeCell ref="AD5:AD6"/>
    <mergeCell ref="AE5:AF5"/>
    <mergeCell ref="AG5:AI5"/>
    <mergeCell ref="AL2:AL6"/>
    <mergeCell ref="A1:A6"/>
    <mergeCell ref="B1:B6"/>
    <mergeCell ref="I2:I6"/>
    <mergeCell ref="X3:Z3"/>
    <mergeCell ref="Y4:Y6"/>
    <mergeCell ref="AN2:AN6"/>
    <mergeCell ref="D3:D6"/>
    <mergeCell ref="F3:F6"/>
    <mergeCell ref="G3:G6"/>
    <mergeCell ref="O2:AC2"/>
    <mergeCell ref="X4:X6"/>
    <mergeCell ref="R5:R6"/>
    <mergeCell ref="S5:T5"/>
    <mergeCell ref="U5:W5"/>
    <mergeCell ref="H3:H6"/>
    <mergeCell ref="AC4:AC6"/>
    <mergeCell ref="Z4:Z6"/>
    <mergeCell ref="AP1:AP6"/>
    <mergeCell ref="C2:C6"/>
    <mergeCell ref="J2:J6"/>
    <mergeCell ref="L2:L6"/>
    <mergeCell ref="M2:N3"/>
    <mergeCell ref="AJ2:AJ6"/>
    <mergeCell ref="AK2:AK6"/>
    <mergeCell ref="AM2:AM6"/>
    <mergeCell ref="D2:H2"/>
    <mergeCell ref="N4:N6"/>
    <mergeCell ref="O4:O6"/>
    <mergeCell ref="P4:P6"/>
    <mergeCell ref="Q4:Q6"/>
    <mergeCell ref="R4:W4"/>
    <mergeCell ref="M4:M6"/>
  </mergeCells>
  <printOptions horizontalCentered="1"/>
  <pageMargins left="0.2" right="0.2" top="0.75" bottom="0.15" header="0" footer="0"/>
  <pageSetup horizontalDpi="600" verticalDpi="600" orientation="landscape" paperSize="9" r:id="rId3"/>
  <headerFooter>
    <oddHeader>&amp;C&amp;"Time new roman,Bold"&amp;10Phụ biểu 10. Kết quả giải  ngân tiền DVMTR thu được trong năm 2013 của Quỹ Bảo vệ và Phát triển rừng tỉnh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H48"/>
  <sheetViews>
    <sheetView zoomScale="120" zoomScaleNormal="120" zoomScalePageLayoutView="0" workbookViewId="0" topLeftCell="A1">
      <pane xSplit="2" ySplit="8" topLeftCell="C36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O45" sqref="O45"/>
    </sheetView>
  </sheetViews>
  <sheetFormatPr defaultColWidth="9.140625" defaultRowHeight="35.25" customHeight="1"/>
  <cols>
    <col min="1" max="1" width="4.140625" style="14" customWidth="1"/>
    <col min="2" max="2" width="12.28125" style="14" customWidth="1"/>
    <col min="3" max="3" width="11.00390625" style="14" customWidth="1"/>
    <col min="4" max="5" width="9.28125" style="14" customWidth="1"/>
    <col min="6" max="6" width="9.421875" style="14" customWidth="1"/>
    <col min="7" max="7" width="10.28125" style="14" customWidth="1"/>
    <col min="8" max="8" width="9.57421875" style="14" customWidth="1"/>
    <col min="9" max="9" width="10.421875" style="14" customWidth="1"/>
    <col min="10" max="10" width="9.57421875" style="14" customWidth="1"/>
    <col min="11" max="11" width="8.7109375" style="14" customWidth="1"/>
    <col min="12" max="12" width="8.421875" style="14" customWidth="1"/>
    <col min="13" max="13" width="10.57421875" style="14" customWidth="1"/>
    <col min="14" max="14" width="8.57421875" style="14" customWidth="1"/>
    <col min="15" max="15" width="10.57421875" style="16" customWidth="1"/>
    <col min="16" max="17" width="9.00390625" style="14" customWidth="1"/>
    <col min="18" max="18" width="9.421875" style="14" customWidth="1"/>
    <col min="19" max="19" width="10.00390625" style="14" customWidth="1"/>
    <col min="20" max="20" width="9.28125" style="14" customWidth="1"/>
    <col min="21" max="21" width="8.00390625" style="88" customWidth="1"/>
    <col min="22" max="22" width="9.8515625" style="86" bestFit="1" customWidth="1"/>
    <col min="23" max="86" width="9.140625" style="86" customWidth="1"/>
    <col min="87" max="191" width="9.140625" style="14" customWidth="1"/>
    <col min="192" max="192" width="4.8515625" style="14" customWidth="1"/>
    <col min="193" max="193" width="11.7109375" style="14" customWidth="1"/>
    <col min="194" max="194" width="11.421875" style="14" customWidth="1"/>
    <col min="195" max="195" width="12.7109375" style="14" customWidth="1"/>
    <col min="196" max="196" width="9.57421875" style="14" customWidth="1"/>
    <col min="197" max="198" width="10.140625" style="14" customWidth="1"/>
    <col min="199" max="199" width="10.57421875" style="14" customWidth="1"/>
    <col min="200" max="200" width="7.7109375" style="14" customWidth="1"/>
    <col min="201" max="201" width="9.140625" style="14" customWidth="1"/>
    <col min="202" max="202" width="7.8515625" style="14" customWidth="1"/>
    <col min="203" max="203" width="9.00390625" style="14" customWidth="1"/>
    <col min="204" max="204" width="9.28125" style="14" customWidth="1"/>
    <col min="205" max="205" width="8.140625" style="14" customWidth="1"/>
    <col min="206" max="16384" width="9.140625" style="14" customWidth="1"/>
  </cols>
  <sheetData>
    <row r="1" spans="1:86" s="17" customFormat="1" ht="11.25" customHeight="1">
      <c r="A1" s="875" t="s">
        <v>0</v>
      </c>
      <c r="B1" s="875" t="s">
        <v>131</v>
      </c>
      <c r="C1" s="872" t="s">
        <v>165</v>
      </c>
      <c r="D1" s="873"/>
      <c r="E1" s="873"/>
      <c r="F1" s="873"/>
      <c r="G1" s="873"/>
      <c r="H1" s="873"/>
      <c r="I1" s="889" t="s">
        <v>128</v>
      </c>
      <c r="J1" s="890"/>
      <c r="K1" s="890"/>
      <c r="L1" s="890"/>
      <c r="M1" s="890"/>
      <c r="N1" s="890"/>
      <c r="O1" s="869" t="s">
        <v>163</v>
      </c>
      <c r="P1" s="869"/>
      <c r="Q1" s="869"/>
      <c r="R1" s="869"/>
      <c r="S1" s="869"/>
      <c r="T1" s="870"/>
      <c r="U1" s="862" t="s">
        <v>162</v>
      </c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</row>
    <row r="2" spans="1:86" s="17" customFormat="1" ht="11.25" customHeight="1">
      <c r="A2" s="876"/>
      <c r="B2" s="876"/>
      <c r="C2" s="851" t="s">
        <v>121</v>
      </c>
      <c r="D2" s="868" t="s">
        <v>95</v>
      </c>
      <c r="E2" s="869"/>
      <c r="F2" s="869"/>
      <c r="G2" s="869"/>
      <c r="H2" s="870"/>
      <c r="I2" s="852" t="s">
        <v>164</v>
      </c>
      <c r="J2" s="852" t="s">
        <v>129</v>
      </c>
      <c r="K2" s="851" t="s">
        <v>225</v>
      </c>
      <c r="L2" s="852" t="s">
        <v>130</v>
      </c>
      <c r="M2" s="853" t="s">
        <v>122</v>
      </c>
      <c r="N2" s="853"/>
      <c r="O2" s="878" t="s">
        <v>143</v>
      </c>
      <c r="P2" s="871" t="s">
        <v>485</v>
      </c>
      <c r="Q2" s="871"/>
      <c r="R2" s="871"/>
      <c r="S2" s="871"/>
      <c r="T2" s="878" t="s">
        <v>155</v>
      </c>
      <c r="U2" s="863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</row>
    <row r="3" spans="1:86" s="17" customFormat="1" ht="9.75" customHeight="1">
      <c r="A3" s="876"/>
      <c r="B3" s="876"/>
      <c r="C3" s="852"/>
      <c r="D3" s="872" t="s">
        <v>484</v>
      </c>
      <c r="E3" s="873"/>
      <c r="F3" s="873"/>
      <c r="G3" s="873"/>
      <c r="H3" s="870" t="s">
        <v>167</v>
      </c>
      <c r="I3" s="852"/>
      <c r="J3" s="852"/>
      <c r="K3" s="852"/>
      <c r="L3" s="852"/>
      <c r="M3" s="853"/>
      <c r="N3" s="853"/>
      <c r="O3" s="878"/>
      <c r="P3" s="852" t="s">
        <v>5</v>
      </c>
      <c r="Q3" s="852" t="s">
        <v>229</v>
      </c>
      <c r="R3" s="852" t="s">
        <v>132</v>
      </c>
      <c r="S3" s="863" t="s">
        <v>133</v>
      </c>
      <c r="T3" s="878"/>
      <c r="U3" s="863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</row>
    <row r="4" spans="1:86" s="17" customFormat="1" ht="21.75" customHeight="1">
      <c r="A4" s="876"/>
      <c r="B4" s="876"/>
      <c r="C4" s="852"/>
      <c r="D4" s="851" t="s">
        <v>5</v>
      </c>
      <c r="E4" s="851" t="s">
        <v>225</v>
      </c>
      <c r="F4" s="851" t="s">
        <v>154</v>
      </c>
      <c r="G4" s="851" t="s">
        <v>120</v>
      </c>
      <c r="H4" s="885"/>
      <c r="I4" s="852"/>
      <c r="J4" s="852"/>
      <c r="K4" s="852"/>
      <c r="L4" s="852"/>
      <c r="M4" s="871"/>
      <c r="N4" s="871"/>
      <c r="O4" s="878"/>
      <c r="P4" s="852"/>
      <c r="Q4" s="852"/>
      <c r="R4" s="852"/>
      <c r="S4" s="863"/>
      <c r="T4" s="878"/>
      <c r="U4" s="863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</row>
    <row r="5" spans="1:86" s="17" customFormat="1" ht="15" customHeight="1">
      <c r="A5" s="876"/>
      <c r="B5" s="876"/>
      <c r="C5" s="852"/>
      <c r="D5" s="852"/>
      <c r="E5" s="852"/>
      <c r="F5" s="852"/>
      <c r="G5" s="852"/>
      <c r="H5" s="885"/>
      <c r="I5" s="852"/>
      <c r="J5" s="852"/>
      <c r="K5" s="852"/>
      <c r="L5" s="852"/>
      <c r="M5" s="851" t="s">
        <v>124</v>
      </c>
      <c r="N5" s="851" t="s">
        <v>125</v>
      </c>
      <c r="O5" s="878"/>
      <c r="P5" s="852"/>
      <c r="Q5" s="852"/>
      <c r="R5" s="852"/>
      <c r="S5" s="863"/>
      <c r="T5" s="878"/>
      <c r="U5" s="863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</row>
    <row r="6" spans="1:21" ht="11.25" customHeight="1">
      <c r="A6" s="876"/>
      <c r="B6" s="876"/>
      <c r="C6" s="852"/>
      <c r="D6" s="852"/>
      <c r="E6" s="852"/>
      <c r="F6" s="852"/>
      <c r="G6" s="852"/>
      <c r="H6" s="886"/>
      <c r="I6" s="852"/>
      <c r="J6" s="852"/>
      <c r="K6" s="852"/>
      <c r="L6" s="852"/>
      <c r="M6" s="852"/>
      <c r="N6" s="852"/>
      <c r="O6" s="878"/>
      <c r="P6" s="853"/>
      <c r="Q6" s="853"/>
      <c r="R6" s="853"/>
      <c r="S6" s="864"/>
      <c r="T6" s="878"/>
      <c r="U6" s="863"/>
    </row>
    <row r="7" spans="1:25" s="21" customFormat="1" ht="13.5" customHeight="1">
      <c r="A7" s="80" t="s">
        <v>9</v>
      </c>
      <c r="B7" s="80" t="s">
        <v>10</v>
      </c>
      <c r="C7" s="81" t="s">
        <v>157</v>
      </c>
      <c r="D7" s="81" t="s">
        <v>100</v>
      </c>
      <c r="E7" s="81" t="s">
        <v>101</v>
      </c>
      <c r="F7" s="81" t="s">
        <v>102</v>
      </c>
      <c r="G7" s="81" t="s">
        <v>103</v>
      </c>
      <c r="H7" s="81" t="s">
        <v>230</v>
      </c>
      <c r="I7" s="81" t="s">
        <v>134</v>
      </c>
      <c r="J7" s="81" t="s">
        <v>135</v>
      </c>
      <c r="K7" s="81" t="s">
        <v>231</v>
      </c>
      <c r="L7" s="81" t="s">
        <v>232</v>
      </c>
      <c r="M7" s="81" t="s">
        <v>235</v>
      </c>
      <c r="N7" s="81" t="s">
        <v>236</v>
      </c>
      <c r="O7" s="83" t="s">
        <v>233</v>
      </c>
      <c r="P7" s="82" t="s">
        <v>234</v>
      </c>
      <c r="Q7" s="82" t="s">
        <v>241</v>
      </c>
      <c r="R7" s="80" t="s">
        <v>242</v>
      </c>
      <c r="S7" s="80" t="s">
        <v>243</v>
      </c>
      <c r="T7" s="80" t="s">
        <v>244</v>
      </c>
      <c r="U7" s="80" t="s">
        <v>245</v>
      </c>
      <c r="Y7" s="22"/>
    </row>
    <row r="8" spans="1:86" s="17" customFormat="1" ht="17.25" customHeight="1">
      <c r="A8" s="23" t="s">
        <v>105</v>
      </c>
      <c r="B8" s="24" t="s">
        <v>61</v>
      </c>
      <c r="C8" s="50">
        <f>SUM(C9:C12)</f>
        <v>322203050.7</v>
      </c>
      <c r="D8" s="50">
        <f>SUM(D9:D12)</f>
        <v>15954843.2</v>
      </c>
      <c r="E8" s="50">
        <f aca="true" t="shared" si="0" ref="E8:T8">SUM(E9:E12)</f>
        <v>11523000</v>
      </c>
      <c r="F8" s="50">
        <f t="shared" si="0"/>
        <v>8726748</v>
      </c>
      <c r="G8" s="50">
        <f t="shared" si="0"/>
        <v>266296847.5</v>
      </c>
      <c r="H8" s="50">
        <f t="shared" si="0"/>
        <v>19701612</v>
      </c>
      <c r="I8" s="50">
        <v>258776767</v>
      </c>
      <c r="J8" s="50">
        <v>7248334</v>
      </c>
      <c r="K8" s="50">
        <v>78000</v>
      </c>
      <c r="L8" s="50">
        <v>0</v>
      </c>
      <c r="M8" s="158">
        <v>251450433</v>
      </c>
      <c r="N8" s="158">
        <v>912794</v>
      </c>
      <c r="O8" s="158">
        <f t="shared" si="0"/>
        <v>63426283.7</v>
      </c>
      <c r="P8" s="158">
        <f t="shared" si="0"/>
        <v>8706509.2</v>
      </c>
      <c r="Q8" s="158">
        <f t="shared" si="0"/>
        <v>11445000</v>
      </c>
      <c r="R8" s="158">
        <f t="shared" si="0"/>
        <v>8726748</v>
      </c>
      <c r="S8" s="158">
        <f t="shared" si="0"/>
        <v>14846414.500000004</v>
      </c>
      <c r="T8" s="158">
        <f t="shared" si="0"/>
        <v>19701612</v>
      </c>
      <c r="U8" s="157">
        <f aca="true" t="shared" si="1" ref="U8:U43">M8/G8</f>
        <v>0.9442486284033085</v>
      </c>
      <c r="V8" s="159">
        <f aca="true" t="shared" si="2" ref="V8:V44">C8-I8-O8</f>
        <v>0</v>
      </c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</row>
    <row r="9" spans="1:86" s="199" customFormat="1" ht="15" customHeight="1">
      <c r="A9" s="41">
        <v>1</v>
      </c>
      <c r="B9" s="42" t="s">
        <v>68</v>
      </c>
      <c r="C9" s="193">
        <f>SUM(D9:H9)</f>
        <v>97863485.7</v>
      </c>
      <c r="D9" s="193">
        <f>9688903</f>
        <v>9688903</v>
      </c>
      <c r="E9" s="193"/>
      <c r="F9" s="193"/>
      <c r="G9" s="193">
        <f>96889033*90%</f>
        <v>87200129.7</v>
      </c>
      <c r="H9" s="193">
        <v>974453</v>
      </c>
      <c r="I9" s="193">
        <f>J9+K9+L9+M9+N9</f>
        <v>94482622</v>
      </c>
      <c r="J9" s="193">
        <v>3299878</v>
      </c>
      <c r="K9" s="193"/>
      <c r="L9" s="193"/>
      <c r="M9" s="193">
        <v>90766472</v>
      </c>
      <c r="N9" s="193">
        <v>416272</v>
      </c>
      <c r="O9" s="193">
        <f>SUM(P9:T9)</f>
        <v>3797135.700000003</v>
      </c>
      <c r="P9" s="193">
        <f>D9-J9</f>
        <v>6389025</v>
      </c>
      <c r="Q9" s="193">
        <f>E9-K9</f>
        <v>0</v>
      </c>
      <c r="R9" s="193">
        <f>F9-L9</f>
        <v>0</v>
      </c>
      <c r="S9" s="193">
        <f>G9-M9</f>
        <v>-3566342.299999997</v>
      </c>
      <c r="T9" s="193">
        <f>H9</f>
        <v>974453</v>
      </c>
      <c r="U9" s="235">
        <f t="shared" si="1"/>
        <v>1.0408983600399393</v>
      </c>
      <c r="V9" s="251">
        <f t="shared" si="2"/>
        <v>-416272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</row>
    <row r="10" spans="1:86" s="203" customFormat="1" ht="17.25" customHeight="1">
      <c r="A10" s="43">
        <f>A9+1</f>
        <v>2</v>
      </c>
      <c r="B10" s="44" t="s">
        <v>106</v>
      </c>
      <c r="C10" s="200">
        <f aca="true" t="shared" si="3" ref="C10:C43">SUM(D10:H10)</f>
        <v>208081000</v>
      </c>
      <c r="D10" s="200">
        <v>4903000</v>
      </c>
      <c r="E10" s="200">
        <v>11523000</v>
      </c>
      <c r="F10" s="200">
        <v>8213000</v>
      </c>
      <c r="G10" s="200">
        <v>167344000</v>
      </c>
      <c r="H10" s="200">
        <f>208081000-191983000</f>
        <v>16098000</v>
      </c>
      <c r="I10" s="200">
        <f aca="true" t="shared" si="4" ref="I10:I44">J10+K10+L10+M10+N10</f>
        <v>155617719</v>
      </c>
      <c r="J10" s="200">
        <v>3143000</v>
      </c>
      <c r="K10" s="200">
        <v>78000</v>
      </c>
      <c r="L10" s="200"/>
      <c r="M10" s="200">
        <v>151974000</v>
      </c>
      <c r="N10" s="200">
        <v>422719</v>
      </c>
      <c r="O10" s="200">
        <f>SUM(P10:T10)</f>
        <v>52886000</v>
      </c>
      <c r="P10" s="200">
        <f aca="true" t="shared" si="5" ref="P10:P43">D10-J10</f>
        <v>1760000</v>
      </c>
      <c r="Q10" s="200">
        <f>E10-K10</f>
        <v>11445000</v>
      </c>
      <c r="R10" s="200">
        <f>F10-L10</f>
        <v>8213000</v>
      </c>
      <c r="S10" s="200">
        <f>G10-M10</f>
        <v>15370000</v>
      </c>
      <c r="T10" s="200">
        <f aca="true" t="shared" si="6" ref="T10:T43">H10</f>
        <v>16098000</v>
      </c>
      <c r="U10" s="201">
        <f t="shared" si="1"/>
        <v>0.9081532651305096</v>
      </c>
      <c r="V10" s="251">
        <f t="shared" si="2"/>
        <v>-422719</v>
      </c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</row>
    <row r="11" spans="1:86" s="44" customFormat="1" ht="17.25" customHeight="1">
      <c r="A11" s="43">
        <f>A10+1</f>
        <v>3</v>
      </c>
      <c r="B11" s="44" t="s">
        <v>67</v>
      </c>
      <c r="C11" s="200">
        <f t="shared" si="3"/>
        <v>3354452.0000000005</v>
      </c>
      <c r="D11" s="254">
        <f>3354452*10%</f>
        <v>335445.2</v>
      </c>
      <c r="E11" s="254"/>
      <c r="F11" s="254"/>
      <c r="G11" s="254">
        <f>3354452*90%</f>
        <v>3019006.8000000003</v>
      </c>
      <c r="H11" s="254"/>
      <c r="I11" s="204">
        <f t="shared" si="4"/>
        <v>0</v>
      </c>
      <c r="J11" s="204">
        <v>0</v>
      </c>
      <c r="K11" s="204"/>
      <c r="L11" s="204"/>
      <c r="M11" s="204">
        <v>0</v>
      </c>
      <c r="N11" s="204">
        <v>0</v>
      </c>
      <c r="O11" s="200">
        <f>SUM(P11:T11)</f>
        <v>3354452.0000000005</v>
      </c>
      <c r="P11" s="204">
        <f>D11-J11</f>
        <v>335445.2</v>
      </c>
      <c r="Q11" s="204">
        <f aca="true" t="shared" si="7" ref="Q11:S43">E11-K11</f>
        <v>0</v>
      </c>
      <c r="R11" s="204">
        <f t="shared" si="7"/>
        <v>0</v>
      </c>
      <c r="S11" s="204">
        <f t="shared" si="7"/>
        <v>3019006.8000000003</v>
      </c>
      <c r="T11" s="204">
        <f t="shared" si="6"/>
        <v>0</v>
      </c>
      <c r="U11" s="205">
        <f t="shared" si="1"/>
        <v>0</v>
      </c>
      <c r="V11" s="251">
        <f t="shared" si="2"/>
        <v>0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</row>
    <row r="12" spans="1:86" s="227" customFormat="1" ht="17.25" customHeight="1">
      <c r="A12" s="76">
        <f>A11+1</f>
        <v>4</v>
      </c>
      <c r="B12" s="77" t="s">
        <v>70</v>
      </c>
      <c r="C12" s="225">
        <f t="shared" si="3"/>
        <v>12904113</v>
      </c>
      <c r="D12" s="225">
        <v>1027495</v>
      </c>
      <c r="E12" s="225"/>
      <c r="F12" s="225">
        <v>513748</v>
      </c>
      <c r="G12" s="225">
        <v>8733711</v>
      </c>
      <c r="H12" s="225">
        <v>2629159</v>
      </c>
      <c r="I12" s="225">
        <f t="shared" si="4"/>
        <v>9589220</v>
      </c>
      <c r="J12" s="225">
        <v>805456</v>
      </c>
      <c r="K12" s="225"/>
      <c r="L12" s="225"/>
      <c r="M12" s="225">
        <v>8709961</v>
      </c>
      <c r="N12" s="225">
        <v>73803</v>
      </c>
      <c r="O12" s="225">
        <f>SUM(P12:T12)</f>
        <v>3388696</v>
      </c>
      <c r="P12" s="225">
        <f t="shared" si="5"/>
        <v>222039</v>
      </c>
      <c r="Q12" s="225">
        <f t="shared" si="7"/>
        <v>0</v>
      </c>
      <c r="R12" s="225">
        <f t="shared" si="7"/>
        <v>513748</v>
      </c>
      <c r="S12" s="225">
        <f t="shared" si="7"/>
        <v>23750</v>
      </c>
      <c r="T12" s="225">
        <f t="shared" si="6"/>
        <v>2629159</v>
      </c>
      <c r="U12" s="226">
        <f t="shared" si="1"/>
        <v>0.9972806519473796</v>
      </c>
      <c r="V12" s="251">
        <f t="shared" si="2"/>
        <v>-73803</v>
      </c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</row>
    <row r="13" spans="1:86" s="234" customFormat="1" ht="17.25" customHeight="1">
      <c r="A13" s="228" t="s">
        <v>107</v>
      </c>
      <c r="B13" s="229" t="s">
        <v>62</v>
      </c>
      <c r="C13" s="230">
        <f>SUM(C14:C20)</f>
        <v>114002770</v>
      </c>
      <c r="D13" s="230">
        <f>SUM(D14:D20)</f>
        <v>11748028.4</v>
      </c>
      <c r="E13" s="230">
        <f aca="true" t="shared" si="8" ref="E13:T13">SUM(E14:E20)</f>
        <v>1057019</v>
      </c>
      <c r="F13" s="230">
        <f>SUM(F14:F20)</f>
        <v>5531351.8</v>
      </c>
      <c r="G13" s="230">
        <f>SUM(G14:G20)</f>
        <v>94156234.8</v>
      </c>
      <c r="H13" s="230">
        <f t="shared" si="8"/>
        <v>1510136</v>
      </c>
      <c r="I13" s="230">
        <f t="shared" si="4"/>
        <v>74672940</v>
      </c>
      <c r="J13" s="230">
        <v>6756794</v>
      </c>
      <c r="K13" s="230">
        <v>94000</v>
      </c>
      <c r="L13" s="230">
        <v>0</v>
      </c>
      <c r="M13" s="230">
        <v>67281254</v>
      </c>
      <c r="N13" s="230">
        <v>540892</v>
      </c>
      <c r="O13" s="230">
        <f t="shared" si="8"/>
        <v>39870722</v>
      </c>
      <c r="P13" s="230">
        <f t="shared" si="8"/>
        <v>4991234.4</v>
      </c>
      <c r="Q13" s="230">
        <f t="shared" si="8"/>
        <v>963019</v>
      </c>
      <c r="R13" s="230">
        <f t="shared" si="8"/>
        <v>5531351.8</v>
      </c>
      <c r="S13" s="230">
        <f t="shared" si="8"/>
        <v>26874980.799999997</v>
      </c>
      <c r="T13" s="230">
        <f t="shared" si="8"/>
        <v>1510136</v>
      </c>
      <c r="U13" s="231"/>
      <c r="V13" s="251">
        <f t="shared" si="2"/>
        <v>-540892</v>
      </c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</row>
    <row r="14" spans="1:86" s="199" customFormat="1" ht="17.25" customHeight="1">
      <c r="A14" s="41">
        <v>5</v>
      </c>
      <c r="B14" s="42" t="s">
        <v>71</v>
      </c>
      <c r="C14" s="193">
        <f t="shared" si="3"/>
        <v>32151261</v>
      </c>
      <c r="D14" s="193">
        <f>32151261*10%</f>
        <v>3215126.1</v>
      </c>
      <c r="E14" s="193"/>
      <c r="F14" s="193">
        <f>D14/2</f>
        <v>1607563.05</v>
      </c>
      <c r="G14" s="193">
        <f>32151261*85%</f>
        <v>27328571.849999998</v>
      </c>
      <c r="H14" s="193"/>
      <c r="I14" s="193">
        <f t="shared" si="4"/>
        <v>31444873</v>
      </c>
      <c r="J14" s="193">
        <v>1794762</v>
      </c>
      <c r="K14" s="193"/>
      <c r="L14" s="193"/>
      <c r="M14" s="193">
        <v>29462053</v>
      </c>
      <c r="N14" s="193">
        <v>188058</v>
      </c>
      <c r="O14" s="193">
        <f>SUM(P14:T14)</f>
        <v>894445.9999999981</v>
      </c>
      <c r="P14" s="193">
        <f t="shared" si="5"/>
        <v>1420364.1</v>
      </c>
      <c r="Q14" s="193">
        <f t="shared" si="7"/>
        <v>0</v>
      </c>
      <c r="R14" s="193">
        <f t="shared" si="7"/>
        <v>1607563.05</v>
      </c>
      <c r="S14" s="193">
        <f t="shared" si="7"/>
        <v>-2133481.1500000022</v>
      </c>
      <c r="T14" s="193">
        <f t="shared" si="6"/>
        <v>0</v>
      </c>
      <c r="U14" s="235">
        <f t="shared" si="1"/>
        <v>1.0780677878708838</v>
      </c>
      <c r="V14" s="251">
        <f t="shared" si="2"/>
        <v>-188057.99999999814</v>
      </c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</row>
    <row r="15" spans="1:86" s="203" customFormat="1" ht="17.25" customHeight="1">
      <c r="A15" s="43">
        <f aca="true" t="shared" si="9" ref="A15:A20">A14+1</f>
        <v>6</v>
      </c>
      <c r="B15" s="44" t="s">
        <v>72</v>
      </c>
      <c r="C15" s="200">
        <f t="shared" si="3"/>
        <v>18908655</v>
      </c>
      <c r="D15" s="200">
        <v>2241019</v>
      </c>
      <c r="E15" s="200">
        <v>1057019</v>
      </c>
      <c r="F15" s="200">
        <v>927434</v>
      </c>
      <c r="G15" s="200">
        <v>13250262</v>
      </c>
      <c r="H15" s="200">
        <f>18908655-17449538-26196</f>
        <v>1432921</v>
      </c>
      <c r="I15" s="200">
        <f t="shared" si="4"/>
        <v>7070241</v>
      </c>
      <c r="J15" s="200">
        <v>2044835</v>
      </c>
      <c r="K15" s="200">
        <v>94000</v>
      </c>
      <c r="L15" s="200"/>
      <c r="M15" s="200">
        <v>4834264</v>
      </c>
      <c r="N15" s="200">
        <v>97142</v>
      </c>
      <c r="O15" s="200">
        <f>SUM(P15:T15)</f>
        <v>11935556</v>
      </c>
      <c r="P15" s="200">
        <f>D15-J15</f>
        <v>196184</v>
      </c>
      <c r="Q15" s="200">
        <f t="shared" si="7"/>
        <v>963019</v>
      </c>
      <c r="R15" s="200">
        <f t="shared" si="7"/>
        <v>927434</v>
      </c>
      <c r="S15" s="200">
        <f t="shared" si="7"/>
        <v>8415998</v>
      </c>
      <c r="T15" s="200">
        <f t="shared" si="6"/>
        <v>1432921</v>
      </c>
      <c r="U15" s="201">
        <f t="shared" si="1"/>
        <v>0.3648428989555074</v>
      </c>
      <c r="V15" s="251">
        <f t="shared" si="2"/>
        <v>-97142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</row>
    <row r="16" spans="1:86" s="203" customFormat="1" ht="17.25" customHeight="1">
      <c r="A16" s="43">
        <f t="shared" si="9"/>
        <v>7</v>
      </c>
      <c r="B16" s="44" t="s">
        <v>108</v>
      </c>
      <c r="C16" s="200">
        <f>SUM(D16:H16)</f>
        <v>3430375</v>
      </c>
      <c r="D16" s="200">
        <f>3430375*10%</f>
        <v>343037.5</v>
      </c>
      <c r="E16" s="200"/>
      <c r="F16" s="200">
        <f>D16/2</f>
        <v>171518.75</v>
      </c>
      <c r="G16" s="200">
        <f>3430375*85%</f>
        <v>2915818.75</v>
      </c>
      <c r="H16" s="200"/>
      <c r="I16" s="200">
        <f t="shared" si="4"/>
        <v>0</v>
      </c>
      <c r="J16" s="200"/>
      <c r="K16" s="200"/>
      <c r="L16" s="200"/>
      <c r="M16" s="200">
        <v>0</v>
      </c>
      <c r="N16" s="200">
        <v>0</v>
      </c>
      <c r="O16" s="200">
        <f aca="true" t="shared" si="10" ref="O16:O43">SUM(P16:T16)</f>
        <v>3430375</v>
      </c>
      <c r="P16" s="200">
        <f>D16-J16</f>
        <v>343037.5</v>
      </c>
      <c r="Q16" s="200">
        <f t="shared" si="7"/>
        <v>0</v>
      </c>
      <c r="R16" s="200">
        <f t="shared" si="7"/>
        <v>171518.75</v>
      </c>
      <c r="S16" s="200">
        <f t="shared" si="7"/>
        <v>2915818.75</v>
      </c>
      <c r="T16" s="200">
        <f t="shared" si="6"/>
        <v>0</v>
      </c>
      <c r="U16" s="201">
        <f t="shared" si="1"/>
        <v>0</v>
      </c>
      <c r="V16" s="251">
        <f t="shared" si="2"/>
        <v>0</v>
      </c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</row>
    <row r="17" spans="1:86" s="203" customFormat="1" ht="17.25" customHeight="1">
      <c r="A17" s="43">
        <f t="shared" si="9"/>
        <v>8</v>
      </c>
      <c r="B17" s="44" t="s">
        <v>73</v>
      </c>
      <c r="C17" s="200">
        <f t="shared" si="3"/>
        <v>31576758</v>
      </c>
      <c r="D17" s="200">
        <f>31576758*10%</f>
        <v>3157675.8000000003</v>
      </c>
      <c r="E17" s="200"/>
      <c r="F17" s="200">
        <f>1115603+314397</f>
        <v>1430000</v>
      </c>
      <c r="G17" s="200">
        <f>31576758-D17-F17</f>
        <v>26989082.2</v>
      </c>
      <c r="H17" s="200">
        <v>0</v>
      </c>
      <c r="I17" s="200">
        <f t="shared" si="4"/>
        <v>28556799</v>
      </c>
      <c r="J17" s="200">
        <v>2806232</v>
      </c>
      <c r="K17" s="200"/>
      <c r="L17" s="200"/>
      <c r="M17" s="200">
        <v>25560006</v>
      </c>
      <c r="N17" s="200">
        <v>190561</v>
      </c>
      <c r="O17" s="200">
        <f t="shared" si="10"/>
        <v>3210519.9999999995</v>
      </c>
      <c r="P17" s="200">
        <f t="shared" si="5"/>
        <v>351443.8000000003</v>
      </c>
      <c r="Q17" s="200">
        <f t="shared" si="7"/>
        <v>0</v>
      </c>
      <c r="R17" s="200">
        <f t="shared" si="7"/>
        <v>1430000</v>
      </c>
      <c r="S17" s="200">
        <f t="shared" si="7"/>
        <v>1429076.1999999993</v>
      </c>
      <c r="T17" s="200">
        <f t="shared" si="6"/>
        <v>0</v>
      </c>
      <c r="U17" s="201">
        <f t="shared" si="1"/>
        <v>0.9470498407685757</v>
      </c>
      <c r="V17" s="251">
        <f t="shared" si="2"/>
        <v>-190560.99999999953</v>
      </c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</row>
    <row r="18" spans="1:86" s="203" customFormat="1" ht="17.25" customHeight="1">
      <c r="A18" s="43">
        <f t="shared" si="9"/>
        <v>9</v>
      </c>
      <c r="B18" s="44" t="s">
        <v>75</v>
      </c>
      <c r="C18" s="200">
        <f t="shared" si="3"/>
        <v>14285721</v>
      </c>
      <c r="D18" s="200">
        <v>1426170</v>
      </c>
      <c r="E18" s="200"/>
      <c r="F18" s="200">
        <v>712336</v>
      </c>
      <c r="G18" s="200">
        <v>12070000</v>
      </c>
      <c r="H18" s="200">
        <v>77215</v>
      </c>
      <c r="I18" s="200">
        <f t="shared" si="4"/>
        <v>7601027</v>
      </c>
      <c r="J18" s="200">
        <v>110965</v>
      </c>
      <c r="K18" s="200"/>
      <c r="L18" s="200"/>
      <c r="M18" s="200">
        <v>7424931</v>
      </c>
      <c r="N18" s="200">
        <v>65131</v>
      </c>
      <c r="O18" s="200">
        <f t="shared" si="10"/>
        <v>6749825</v>
      </c>
      <c r="P18" s="200">
        <f t="shared" si="5"/>
        <v>1315205</v>
      </c>
      <c r="Q18" s="200">
        <f t="shared" si="7"/>
        <v>0</v>
      </c>
      <c r="R18" s="200">
        <f t="shared" si="7"/>
        <v>712336</v>
      </c>
      <c r="S18" s="200">
        <f t="shared" si="7"/>
        <v>4645069</v>
      </c>
      <c r="T18" s="200">
        <f t="shared" si="6"/>
        <v>77215</v>
      </c>
      <c r="U18" s="201">
        <f t="shared" si="1"/>
        <v>0.6151558409279204</v>
      </c>
      <c r="V18" s="251">
        <f t="shared" si="2"/>
        <v>-65131</v>
      </c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</row>
    <row r="19" spans="1:86" s="203" customFormat="1" ht="17.25" customHeight="1">
      <c r="A19" s="43">
        <f t="shared" si="9"/>
        <v>10</v>
      </c>
      <c r="B19" s="44" t="s">
        <v>109</v>
      </c>
      <c r="C19" s="200">
        <f t="shared" si="3"/>
        <v>13500000</v>
      </c>
      <c r="D19" s="200">
        <v>1350000</v>
      </c>
      <c r="E19" s="200"/>
      <c r="F19" s="200">
        <v>675000</v>
      </c>
      <c r="G19" s="200">
        <f>13500000-D19-F19</f>
        <v>11475000</v>
      </c>
      <c r="H19" s="200"/>
      <c r="I19" s="200">
        <f t="shared" si="4"/>
        <v>0</v>
      </c>
      <c r="J19" s="200">
        <v>0</v>
      </c>
      <c r="K19" s="200"/>
      <c r="L19" s="200">
        <v>0</v>
      </c>
      <c r="M19" s="200">
        <v>0</v>
      </c>
      <c r="N19" s="200">
        <v>0</v>
      </c>
      <c r="O19" s="200">
        <f t="shared" si="10"/>
        <v>13500000</v>
      </c>
      <c r="P19" s="200">
        <f t="shared" si="5"/>
        <v>1350000</v>
      </c>
      <c r="Q19" s="200">
        <f t="shared" si="7"/>
        <v>0</v>
      </c>
      <c r="R19" s="200">
        <f t="shared" si="7"/>
        <v>675000</v>
      </c>
      <c r="S19" s="200">
        <f t="shared" si="7"/>
        <v>11475000</v>
      </c>
      <c r="T19" s="200">
        <f t="shared" si="6"/>
        <v>0</v>
      </c>
      <c r="U19" s="201">
        <f t="shared" si="1"/>
        <v>0</v>
      </c>
      <c r="V19" s="251">
        <f t="shared" si="2"/>
        <v>0</v>
      </c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</row>
    <row r="20" spans="1:86" s="227" customFormat="1" ht="17.25" customHeight="1">
      <c r="A20" s="76">
        <f t="shared" si="9"/>
        <v>11</v>
      </c>
      <c r="B20" s="77" t="s">
        <v>77</v>
      </c>
      <c r="C20" s="225">
        <f t="shared" si="3"/>
        <v>150000</v>
      </c>
      <c r="D20" s="225">
        <v>15000</v>
      </c>
      <c r="E20" s="225"/>
      <c r="F20" s="225">
        <f>D20/2</f>
        <v>7500</v>
      </c>
      <c r="G20" s="225">
        <f>150000*85%</f>
        <v>127500</v>
      </c>
      <c r="H20" s="225"/>
      <c r="I20" s="225">
        <f t="shared" si="4"/>
        <v>0</v>
      </c>
      <c r="J20" s="225"/>
      <c r="K20" s="225"/>
      <c r="L20" s="225"/>
      <c r="M20" s="225">
        <v>0</v>
      </c>
      <c r="N20" s="225">
        <v>0</v>
      </c>
      <c r="O20" s="225">
        <f t="shared" si="10"/>
        <v>150000</v>
      </c>
      <c r="P20" s="225">
        <f t="shared" si="5"/>
        <v>15000</v>
      </c>
      <c r="Q20" s="225">
        <f t="shared" si="7"/>
        <v>0</v>
      </c>
      <c r="R20" s="225">
        <f t="shared" si="7"/>
        <v>7500</v>
      </c>
      <c r="S20" s="225">
        <f t="shared" si="7"/>
        <v>127500</v>
      </c>
      <c r="T20" s="225">
        <f t="shared" si="6"/>
        <v>0</v>
      </c>
      <c r="U20" s="226">
        <f t="shared" si="1"/>
        <v>0</v>
      </c>
      <c r="V20" s="251">
        <f t="shared" si="2"/>
        <v>0</v>
      </c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</row>
    <row r="21" spans="1:86" s="234" customFormat="1" ht="17.25" customHeight="1">
      <c r="A21" s="228" t="s">
        <v>110</v>
      </c>
      <c r="B21" s="229" t="s">
        <v>63</v>
      </c>
      <c r="C21" s="230">
        <f>SUM(C22:C26)</f>
        <v>75385332</v>
      </c>
      <c r="D21" s="230">
        <f aca="true" t="shared" si="11" ref="D21:U21">SUM(D22:D26)</f>
        <v>7538533.2</v>
      </c>
      <c r="E21" s="230">
        <f t="shared" si="11"/>
        <v>0</v>
      </c>
      <c r="F21" s="230">
        <f t="shared" si="11"/>
        <v>3783007.5</v>
      </c>
      <c r="G21" s="230">
        <f t="shared" si="11"/>
        <v>64063791.29999999</v>
      </c>
      <c r="H21" s="230">
        <f t="shared" si="11"/>
        <v>0</v>
      </c>
      <c r="I21" s="230">
        <f t="shared" si="4"/>
        <v>20939321</v>
      </c>
      <c r="J21" s="230">
        <v>5051950</v>
      </c>
      <c r="K21" s="230">
        <v>1285924</v>
      </c>
      <c r="L21" s="230">
        <v>0</v>
      </c>
      <c r="M21" s="230">
        <v>14503608</v>
      </c>
      <c r="N21" s="230">
        <v>97839</v>
      </c>
      <c r="O21" s="230">
        <f t="shared" si="11"/>
        <v>54543850</v>
      </c>
      <c r="P21" s="230">
        <f t="shared" si="11"/>
        <v>2486583.1999999997</v>
      </c>
      <c r="Q21" s="230">
        <f t="shared" si="11"/>
        <v>-1285924</v>
      </c>
      <c r="R21" s="230">
        <f t="shared" si="11"/>
        <v>3783007.5</v>
      </c>
      <c r="S21" s="230">
        <f t="shared" si="11"/>
        <v>49560183.3</v>
      </c>
      <c r="T21" s="230">
        <f t="shared" si="11"/>
        <v>0</v>
      </c>
      <c r="U21" s="230">
        <f t="shared" si="11"/>
        <v>1.2219345462598061</v>
      </c>
      <c r="V21" s="251">
        <f t="shared" si="2"/>
        <v>-97839</v>
      </c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</row>
    <row r="22" spans="1:86" s="199" customFormat="1" ht="17.25" customHeight="1">
      <c r="A22" s="41">
        <v>12</v>
      </c>
      <c r="B22" s="42" t="s">
        <v>78</v>
      </c>
      <c r="C22" s="193">
        <f t="shared" si="3"/>
        <v>7274502</v>
      </c>
      <c r="D22" s="193">
        <f>7274502*10%</f>
        <v>727450.2000000001</v>
      </c>
      <c r="E22" s="193"/>
      <c r="F22" s="193">
        <v>377466</v>
      </c>
      <c r="G22" s="193">
        <f>7274502-D22-F22</f>
        <v>6169585.8</v>
      </c>
      <c r="H22" s="193"/>
      <c r="I22" s="193">
        <f t="shared" si="4"/>
        <v>7137465</v>
      </c>
      <c r="J22" s="193">
        <v>700053</v>
      </c>
      <c r="K22" s="193">
        <v>511681</v>
      </c>
      <c r="L22" s="193"/>
      <c r="M22" s="193">
        <v>5882716</v>
      </c>
      <c r="N22" s="193">
        <v>43015</v>
      </c>
      <c r="O22" s="193">
        <f t="shared" si="10"/>
        <v>180051.99999999988</v>
      </c>
      <c r="P22" s="193">
        <f t="shared" si="5"/>
        <v>27397.20000000007</v>
      </c>
      <c r="Q22" s="193">
        <f t="shared" si="7"/>
        <v>-511681</v>
      </c>
      <c r="R22" s="193">
        <f t="shared" si="7"/>
        <v>377466</v>
      </c>
      <c r="S22" s="193">
        <f t="shared" si="7"/>
        <v>286869.7999999998</v>
      </c>
      <c r="T22" s="193">
        <f t="shared" si="6"/>
        <v>0</v>
      </c>
      <c r="U22" s="235">
        <f t="shared" si="1"/>
        <v>0.953502583593213</v>
      </c>
      <c r="V22" s="251">
        <f t="shared" si="2"/>
        <v>-43014.99999999988</v>
      </c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</row>
    <row r="23" spans="1:86" s="203" customFormat="1" ht="17.25" customHeight="1">
      <c r="A23" s="43">
        <v>13</v>
      </c>
      <c r="B23" s="44" t="s">
        <v>79</v>
      </c>
      <c r="C23" s="200">
        <f t="shared" si="3"/>
        <v>44335663</v>
      </c>
      <c r="D23" s="200">
        <f>44335663*10%</f>
        <v>4433566.3</v>
      </c>
      <c r="E23" s="200"/>
      <c r="F23" s="200">
        <f>D23/2</f>
        <v>2216783.15</v>
      </c>
      <c r="G23" s="200">
        <f>44335663*85%</f>
        <v>37685313.55</v>
      </c>
      <c r="H23" s="200"/>
      <c r="I23" s="200">
        <f t="shared" si="4"/>
        <v>11624494</v>
      </c>
      <c r="J23" s="200">
        <v>3622347</v>
      </c>
      <c r="K23" s="200"/>
      <c r="L23" s="200"/>
      <c r="M23" s="200">
        <v>7953992</v>
      </c>
      <c r="N23" s="200">
        <v>48155</v>
      </c>
      <c r="O23" s="200">
        <f t="shared" si="10"/>
        <v>32759323.999999996</v>
      </c>
      <c r="P23" s="200">
        <f t="shared" si="5"/>
        <v>811219.2999999998</v>
      </c>
      <c r="Q23" s="200">
        <f t="shared" si="7"/>
        <v>0</v>
      </c>
      <c r="R23" s="200">
        <f t="shared" si="7"/>
        <v>2216783.15</v>
      </c>
      <c r="S23" s="200">
        <f t="shared" si="7"/>
        <v>29731321.549999997</v>
      </c>
      <c r="T23" s="200">
        <f t="shared" si="6"/>
        <v>0</v>
      </c>
      <c r="U23" s="201">
        <f t="shared" si="1"/>
        <v>0.21106344224645573</v>
      </c>
      <c r="V23" s="251">
        <f t="shared" si="2"/>
        <v>-48154.999999996275</v>
      </c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</row>
    <row r="24" spans="1:86" s="203" customFormat="1" ht="17.25" customHeight="1">
      <c r="A24" s="43">
        <f>A23+1</f>
        <v>14</v>
      </c>
      <c r="B24" s="44" t="s">
        <v>111</v>
      </c>
      <c r="C24" s="200">
        <f t="shared" si="3"/>
        <v>193388</v>
      </c>
      <c r="D24" s="200">
        <f>193388*10%</f>
        <v>19338.8</v>
      </c>
      <c r="E24" s="200"/>
      <c r="F24" s="200">
        <f>D24/2</f>
        <v>9669.4</v>
      </c>
      <c r="G24" s="200">
        <f>193388*85%</f>
        <v>164379.8</v>
      </c>
      <c r="H24" s="200"/>
      <c r="I24" s="200">
        <f t="shared" si="4"/>
        <v>0</v>
      </c>
      <c r="J24" s="200"/>
      <c r="K24" s="200"/>
      <c r="L24" s="200"/>
      <c r="M24" s="200">
        <v>0</v>
      </c>
      <c r="N24" s="200">
        <v>0</v>
      </c>
      <c r="O24" s="200">
        <f t="shared" si="10"/>
        <v>193388</v>
      </c>
      <c r="P24" s="200">
        <f t="shared" si="5"/>
        <v>19338.8</v>
      </c>
      <c r="Q24" s="200">
        <f t="shared" si="7"/>
        <v>0</v>
      </c>
      <c r="R24" s="200">
        <f t="shared" si="7"/>
        <v>9669.4</v>
      </c>
      <c r="S24" s="200">
        <f t="shared" si="7"/>
        <v>164379.8</v>
      </c>
      <c r="T24" s="200">
        <f t="shared" si="6"/>
        <v>0</v>
      </c>
      <c r="U24" s="201">
        <f t="shared" si="1"/>
        <v>0</v>
      </c>
      <c r="V24" s="251">
        <f t="shared" si="2"/>
        <v>0</v>
      </c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</row>
    <row r="25" spans="1:86" s="203" customFormat="1" ht="17.25" customHeight="1">
      <c r="A25" s="43">
        <f>A24+1</f>
        <v>15</v>
      </c>
      <c r="B25" s="44" t="s">
        <v>112</v>
      </c>
      <c r="C25" s="200">
        <f>SUM(D25:H25)</f>
        <v>13676285</v>
      </c>
      <c r="D25" s="200">
        <f>13676285*10%</f>
        <v>1367628.5</v>
      </c>
      <c r="E25" s="200"/>
      <c r="F25" s="200">
        <f>D25/2</f>
        <v>683814.25</v>
      </c>
      <c r="G25" s="200">
        <f>13676285*85%</f>
        <v>11624842.25</v>
      </c>
      <c r="H25" s="200"/>
      <c r="I25" s="200">
        <f t="shared" si="4"/>
        <v>1663886</v>
      </c>
      <c r="J25" s="200">
        <v>504424</v>
      </c>
      <c r="K25" s="200">
        <v>485893</v>
      </c>
      <c r="L25" s="200"/>
      <c r="M25" s="200">
        <v>666900</v>
      </c>
      <c r="N25" s="200">
        <v>6669</v>
      </c>
      <c r="O25" s="200">
        <f t="shared" si="10"/>
        <v>12019068</v>
      </c>
      <c r="P25" s="200">
        <f t="shared" si="5"/>
        <v>863204.5</v>
      </c>
      <c r="Q25" s="200">
        <f t="shared" si="7"/>
        <v>-485893</v>
      </c>
      <c r="R25" s="200">
        <f t="shared" si="7"/>
        <v>683814.25</v>
      </c>
      <c r="S25" s="200">
        <f t="shared" si="7"/>
        <v>10957942.25</v>
      </c>
      <c r="T25" s="200">
        <f t="shared" si="6"/>
        <v>0</v>
      </c>
      <c r="U25" s="201">
        <f>M25/G25</f>
        <v>0.05736852042013731</v>
      </c>
      <c r="V25" s="251">
        <f t="shared" si="2"/>
        <v>-6669</v>
      </c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</row>
    <row r="26" spans="1:86" s="227" customFormat="1" ht="17.25" customHeight="1">
      <c r="A26" s="76">
        <f>A25+1</f>
        <v>16</v>
      </c>
      <c r="B26" s="77" t="s">
        <v>81</v>
      </c>
      <c r="C26" s="225">
        <f t="shared" si="3"/>
        <v>9905494</v>
      </c>
      <c r="D26" s="225">
        <f>9905494*10%</f>
        <v>990549.4</v>
      </c>
      <c r="E26" s="225"/>
      <c r="F26" s="225">
        <f>D26/2</f>
        <v>495274.7</v>
      </c>
      <c r="G26" s="225">
        <f>9905494*85%</f>
        <v>8419669.9</v>
      </c>
      <c r="H26" s="225"/>
      <c r="I26" s="225">
        <f t="shared" si="4"/>
        <v>513476</v>
      </c>
      <c r="J26" s="225">
        <v>225126</v>
      </c>
      <c r="K26" s="225">
        <v>288350</v>
      </c>
      <c r="L26" s="225"/>
      <c r="M26" s="225">
        <v>0</v>
      </c>
      <c r="N26" s="225">
        <v>0</v>
      </c>
      <c r="O26" s="225">
        <f t="shared" si="10"/>
        <v>9392018</v>
      </c>
      <c r="P26" s="225">
        <f t="shared" si="5"/>
        <v>765423.4</v>
      </c>
      <c r="Q26" s="225">
        <f t="shared" si="7"/>
        <v>-288350</v>
      </c>
      <c r="R26" s="225">
        <f t="shared" si="7"/>
        <v>495274.7</v>
      </c>
      <c r="S26" s="225">
        <f t="shared" si="7"/>
        <v>8419669.9</v>
      </c>
      <c r="T26" s="225">
        <f t="shared" si="6"/>
        <v>0</v>
      </c>
      <c r="U26" s="226">
        <f t="shared" si="1"/>
        <v>0</v>
      </c>
      <c r="V26" s="251">
        <f t="shared" si="2"/>
        <v>0</v>
      </c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</row>
    <row r="27" spans="1:86" s="234" customFormat="1" ht="17.25" customHeight="1">
      <c r="A27" s="228" t="s">
        <v>113</v>
      </c>
      <c r="B27" s="229" t="s">
        <v>64</v>
      </c>
      <c r="C27" s="230">
        <f t="shared" si="3"/>
        <v>83088121</v>
      </c>
      <c r="D27" s="230">
        <f>SUM(D28:D34)</f>
        <v>8308812</v>
      </c>
      <c r="E27" s="230"/>
      <c r="F27" s="230">
        <f>SUM(F28:F34)</f>
        <v>4154405.5</v>
      </c>
      <c r="G27" s="230">
        <f>SUM(G28:G34)</f>
        <v>70624903.5</v>
      </c>
      <c r="H27" s="230">
        <f>SUM(H28:H34)</f>
        <v>0</v>
      </c>
      <c r="I27" s="230">
        <f t="shared" si="4"/>
        <v>36755271</v>
      </c>
      <c r="J27" s="230">
        <v>4310932</v>
      </c>
      <c r="K27" s="230"/>
      <c r="L27" s="230">
        <v>61679</v>
      </c>
      <c r="M27" s="230">
        <v>32124887</v>
      </c>
      <c r="N27" s="230">
        <v>257773</v>
      </c>
      <c r="O27" s="230">
        <f t="shared" si="10"/>
        <v>46590623</v>
      </c>
      <c r="P27" s="230">
        <f>SUM(P28:P34)</f>
        <v>3997880.0000000005</v>
      </c>
      <c r="Q27" s="230">
        <f t="shared" si="7"/>
        <v>0</v>
      </c>
      <c r="R27" s="230">
        <f t="shared" si="7"/>
        <v>4092726.5</v>
      </c>
      <c r="S27" s="230">
        <f t="shared" si="7"/>
        <v>38500016.5</v>
      </c>
      <c r="T27" s="230">
        <f t="shared" si="6"/>
        <v>0</v>
      </c>
      <c r="U27" s="231">
        <f t="shared" si="1"/>
        <v>0.45486627815356945</v>
      </c>
      <c r="V27" s="251">
        <f t="shared" si="2"/>
        <v>-257773</v>
      </c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</row>
    <row r="28" spans="1:86" s="199" customFormat="1" ht="17.25" customHeight="1">
      <c r="A28" s="41">
        <v>17</v>
      </c>
      <c r="B28" s="42" t="s">
        <v>114</v>
      </c>
      <c r="C28" s="193">
        <f>SUM(D28:H28)</f>
        <v>47168289</v>
      </c>
      <c r="D28" s="193">
        <f>47168289*10%</f>
        <v>4716828.9</v>
      </c>
      <c r="E28" s="193"/>
      <c r="F28" s="193">
        <f aca="true" t="shared" si="12" ref="F28:F33">D28/2</f>
        <v>2358414.45</v>
      </c>
      <c r="G28" s="193">
        <f>47168289*85%</f>
        <v>40093045.65</v>
      </c>
      <c r="H28" s="193"/>
      <c r="I28" s="193">
        <f t="shared" si="4"/>
        <v>29426220</v>
      </c>
      <c r="J28" s="193">
        <v>4187573</v>
      </c>
      <c r="K28" s="193"/>
      <c r="L28" s="193"/>
      <c r="M28" s="193">
        <v>25061366</v>
      </c>
      <c r="N28" s="193">
        <v>177281</v>
      </c>
      <c r="O28" s="193">
        <f t="shared" si="10"/>
        <v>17919350</v>
      </c>
      <c r="P28" s="193">
        <f t="shared" si="5"/>
        <v>529255.9000000004</v>
      </c>
      <c r="Q28" s="193">
        <f t="shared" si="7"/>
        <v>0</v>
      </c>
      <c r="R28" s="193">
        <f t="shared" si="7"/>
        <v>2358414.45</v>
      </c>
      <c r="S28" s="193">
        <f t="shared" si="7"/>
        <v>15031679.649999999</v>
      </c>
      <c r="T28" s="193">
        <f t="shared" si="6"/>
        <v>0</v>
      </c>
      <c r="U28" s="235">
        <f t="shared" si="1"/>
        <v>0.625080125335901</v>
      </c>
      <c r="V28" s="251">
        <f t="shared" si="2"/>
        <v>-177281</v>
      </c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</row>
    <row r="29" spans="1:86" s="203" customFormat="1" ht="17.25" customHeight="1">
      <c r="A29" s="43">
        <f aca="true" t="shared" si="13" ref="A29:A34">A28+1</f>
        <v>18</v>
      </c>
      <c r="B29" s="44" t="s">
        <v>115</v>
      </c>
      <c r="C29" s="200">
        <f t="shared" si="3"/>
        <v>1791316</v>
      </c>
      <c r="D29" s="200">
        <f>1791316*10%</f>
        <v>179131.6</v>
      </c>
      <c r="E29" s="200"/>
      <c r="F29" s="200">
        <f t="shared" si="12"/>
        <v>89565.8</v>
      </c>
      <c r="G29" s="200">
        <f>1791316*85%</f>
        <v>1522618.5999999999</v>
      </c>
      <c r="H29" s="200"/>
      <c r="I29" s="200">
        <f t="shared" si="4"/>
        <v>0</v>
      </c>
      <c r="J29" s="200"/>
      <c r="K29" s="200"/>
      <c r="L29" s="200"/>
      <c r="M29" s="200">
        <v>0</v>
      </c>
      <c r="N29" s="200">
        <v>0</v>
      </c>
      <c r="O29" s="200">
        <f t="shared" si="10"/>
        <v>1791316</v>
      </c>
      <c r="P29" s="200">
        <f t="shared" si="5"/>
        <v>179131.6</v>
      </c>
      <c r="Q29" s="200">
        <f t="shared" si="7"/>
        <v>0</v>
      </c>
      <c r="R29" s="200">
        <f t="shared" si="7"/>
        <v>89565.8</v>
      </c>
      <c r="S29" s="200">
        <f t="shared" si="7"/>
        <v>1522618.5999999999</v>
      </c>
      <c r="T29" s="200">
        <f t="shared" si="6"/>
        <v>0</v>
      </c>
      <c r="U29" s="201">
        <f t="shared" si="1"/>
        <v>0</v>
      </c>
      <c r="V29" s="251">
        <f t="shared" si="2"/>
        <v>0</v>
      </c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</row>
    <row r="30" spans="1:86" s="203" customFormat="1" ht="17.25" customHeight="1">
      <c r="A30" s="43">
        <f t="shared" si="13"/>
        <v>19</v>
      </c>
      <c r="B30" s="44" t="s">
        <v>116</v>
      </c>
      <c r="C30" s="200">
        <v>0</v>
      </c>
      <c r="D30" s="200">
        <v>0</v>
      </c>
      <c r="E30" s="200"/>
      <c r="F30" s="200">
        <f t="shared" si="12"/>
        <v>0</v>
      </c>
      <c r="G30" s="200">
        <v>0</v>
      </c>
      <c r="H30" s="200"/>
      <c r="I30" s="200">
        <f t="shared" si="4"/>
        <v>0</v>
      </c>
      <c r="J30" s="200"/>
      <c r="K30" s="200"/>
      <c r="L30" s="200"/>
      <c r="M30" s="200">
        <v>0</v>
      </c>
      <c r="N30" s="200">
        <v>0</v>
      </c>
      <c r="O30" s="200">
        <f t="shared" si="10"/>
        <v>0</v>
      </c>
      <c r="P30" s="200">
        <f t="shared" si="5"/>
        <v>0</v>
      </c>
      <c r="Q30" s="200">
        <f t="shared" si="7"/>
        <v>0</v>
      </c>
      <c r="R30" s="200">
        <f t="shared" si="7"/>
        <v>0</v>
      </c>
      <c r="S30" s="200">
        <f t="shared" si="7"/>
        <v>0</v>
      </c>
      <c r="T30" s="200">
        <f t="shared" si="6"/>
        <v>0</v>
      </c>
      <c r="U30" s="201" t="e">
        <f t="shared" si="1"/>
        <v>#DIV/0!</v>
      </c>
      <c r="V30" s="251">
        <f t="shared" si="2"/>
        <v>0</v>
      </c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</row>
    <row r="31" spans="1:86" s="203" customFormat="1" ht="17.25" customHeight="1">
      <c r="A31" s="43">
        <f t="shared" si="13"/>
        <v>20</v>
      </c>
      <c r="B31" s="44" t="s">
        <v>84</v>
      </c>
      <c r="C31" s="200">
        <f>SUM(D31:H31)</f>
        <v>160242</v>
      </c>
      <c r="D31" s="200">
        <f>160242*10%</f>
        <v>16024.2</v>
      </c>
      <c r="E31" s="200"/>
      <c r="F31" s="200">
        <f t="shared" si="12"/>
        <v>8012.1</v>
      </c>
      <c r="G31" s="200">
        <f>160242*85%</f>
        <v>136205.69999999998</v>
      </c>
      <c r="H31" s="200"/>
      <c r="I31" s="200">
        <f t="shared" si="4"/>
        <v>0</v>
      </c>
      <c r="J31" s="200"/>
      <c r="K31" s="200"/>
      <c r="L31" s="200"/>
      <c r="M31" s="200">
        <v>0</v>
      </c>
      <c r="N31" s="200">
        <v>0</v>
      </c>
      <c r="O31" s="200">
        <f t="shared" si="10"/>
        <v>160242</v>
      </c>
      <c r="P31" s="200">
        <f t="shared" si="5"/>
        <v>16024.2</v>
      </c>
      <c r="Q31" s="200">
        <f t="shared" si="7"/>
        <v>0</v>
      </c>
      <c r="R31" s="200">
        <f t="shared" si="7"/>
        <v>8012.1</v>
      </c>
      <c r="S31" s="200">
        <f t="shared" si="7"/>
        <v>136205.69999999998</v>
      </c>
      <c r="T31" s="200">
        <f t="shared" si="6"/>
        <v>0</v>
      </c>
      <c r="U31" s="201">
        <f t="shared" si="1"/>
        <v>0</v>
      </c>
      <c r="V31" s="251">
        <f t="shared" si="2"/>
        <v>0</v>
      </c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</row>
    <row r="32" spans="1:86" s="203" customFormat="1" ht="17.25" customHeight="1">
      <c r="A32" s="43">
        <f t="shared" si="13"/>
        <v>21</v>
      </c>
      <c r="B32" s="44" t="s">
        <v>83</v>
      </c>
      <c r="C32" s="200">
        <f t="shared" si="3"/>
        <v>2467683</v>
      </c>
      <c r="D32" s="200">
        <f>2467683*10%</f>
        <v>246768.30000000002</v>
      </c>
      <c r="E32" s="200"/>
      <c r="F32" s="200">
        <f t="shared" si="12"/>
        <v>123384.15000000001</v>
      </c>
      <c r="G32" s="200">
        <f>2467683*85%</f>
        <v>2097530.55</v>
      </c>
      <c r="H32" s="200"/>
      <c r="I32" s="200">
        <f t="shared" si="4"/>
        <v>0</v>
      </c>
      <c r="J32" s="200"/>
      <c r="K32" s="200"/>
      <c r="L32" s="200"/>
      <c r="M32" s="200">
        <v>0</v>
      </c>
      <c r="N32" s="200">
        <v>0</v>
      </c>
      <c r="O32" s="200">
        <f t="shared" si="10"/>
        <v>2467683</v>
      </c>
      <c r="P32" s="200">
        <f t="shared" si="5"/>
        <v>246768.30000000002</v>
      </c>
      <c r="Q32" s="200">
        <f t="shared" si="7"/>
        <v>0</v>
      </c>
      <c r="R32" s="200">
        <f t="shared" si="7"/>
        <v>123384.15000000001</v>
      </c>
      <c r="S32" s="200">
        <f t="shared" si="7"/>
        <v>2097530.55</v>
      </c>
      <c r="T32" s="200">
        <f t="shared" si="6"/>
        <v>0</v>
      </c>
      <c r="U32" s="201">
        <f t="shared" si="1"/>
        <v>0</v>
      </c>
      <c r="V32" s="251">
        <f t="shared" si="2"/>
        <v>0</v>
      </c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</row>
    <row r="33" spans="1:86" s="203" customFormat="1" ht="17.25" customHeight="1">
      <c r="A33" s="43">
        <f t="shared" si="13"/>
        <v>22</v>
      </c>
      <c r="B33" s="44" t="s">
        <v>85</v>
      </c>
      <c r="C33" s="200">
        <f t="shared" si="3"/>
        <v>30267000</v>
      </c>
      <c r="D33" s="200">
        <f>30267000*10%</f>
        <v>3026700</v>
      </c>
      <c r="E33" s="200"/>
      <c r="F33" s="200">
        <f t="shared" si="12"/>
        <v>1513350</v>
      </c>
      <c r="G33" s="200">
        <f>30267000*85%</f>
        <v>25726950</v>
      </c>
      <c r="H33" s="200"/>
      <c r="I33" s="200">
        <f t="shared" si="4"/>
        <v>6036634</v>
      </c>
      <c r="J33" s="200"/>
      <c r="K33" s="200"/>
      <c r="L33" s="200"/>
      <c r="M33" s="200">
        <v>6014968</v>
      </c>
      <c r="N33" s="200">
        <v>21666</v>
      </c>
      <c r="O33" s="200">
        <f t="shared" si="10"/>
        <v>24252032</v>
      </c>
      <c r="P33" s="200">
        <f t="shared" si="5"/>
        <v>3026700</v>
      </c>
      <c r="Q33" s="200">
        <f t="shared" si="7"/>
        <v>0</v>
      </c>
      <c r="R33" s="200">
        <f t="shared" si="7"/>
        <v>1513350</v>
      </c>
      <c r="S33" s="200">
        <f t="shared" si="7"/>
        <v>19711982</v>
      </c>
      <c r="T33" s="200">
        <f t="shared" si="6"/>
        <v>0</v>
      </c>
      <c r="U33" s="201">
        <f t="shared" si="1"/>
        <v>0.23380027558649588</v>
      </c>
      <c r="V33" s="251">
        <f t="shared" si="2"/>
        <v>-21666</v>
      </c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</row>
    <row r="34" spans="1:86" s="212" customFormat="1" ht="17.25" customHeight="1">
      <c r="A34" s="208">
        <f t="shared" si="13"/>
        <v>23</v>
      </c>
      <c r="B34" s="209" t="s">
        <v>86</v>
      </c>
      <c r="C34" s="210">
        <f t="shared" si="3"/>
        <v>1233591</v>
      </c>
      <c r="D34" s="210">
        <v>123359</v>
      </c>
      <c r="E34" s="210"/>
      <c r="F34" s="210">
        <v>61679</v>
      </c>
      <c r="G34" s="210">
        <v>1048553</v>
      </c>
      <c r="H34" s="210"/>
      <c r="I34" s="210">
        <f t="shared" si="4"/>
        <v>1334383</v>
      </c>
      <c r="J34" s="210">
        <v>123359</v>
      </c>
      <c r="K34" s="210"/>
      <c r="L34" s="210">
        <v>61679</v>
      </c>
      <c r="M34" s="210">
        <v>1048553</v>
      </c>
      <c r="N34" s="210">
        <v>100792</v>
      </c>
      <c r="O34" s="210">
        <f t="shared" si="10"/>
        <v>0</v>
      </c>
      <c r="P34" s="210">
        <f t="shared" si="5"/>
        <v>0</v>
      </c>
      <c r="Q34" s="210">
        <f t="shared" si="7"/>
        <v>0</v>
      </c>
      <c r="R34" s="210">
        <f t="shared" si="7"/>
        <v>0</v>
      </c>
      <c r="S34" s="210">
        <f t="shared" si="7"/>
        <v>0</v>
      </c>
      <c r="T34" s="210">
        <f t="shared" si="6"/>
        <v>0</v>
      </c>
      <c r="U34" s="236">
        <f t="shared" si="1"/>
        <v>1</v>
      </c>
      <c r="V34" s="251">
        <f t="shared" si="2"/>
        <v>-100792</v>
      </c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</row>
    <row r="35" spans="1:22" s="219" customFormat="1" ht="17.25" customHeight="1">
      <c r="A35" s="213" t="s">
        <v>117</v>
      </c>
      <c r="B35" s="214" t="s">
        <v>65</v>
      </c>
      <c r="C35" s="215">
        <f>SUM(C36:C40)</f>
        <v>440637838</v>
      </c>
      <c r="D35" s="215">
        <f aca="true" t="shared" si="14" ref="D35:T35">SUM(D36:D40)</f>
        <v>40886532.3</v>
      </c>
      <c r="E35" s="215">
        <f t="shared" si="14"/>
        <v>2827062</v>
      </c>
      <c r="F35" s="215">
        <f t="shared" si="14"/>
        <v>18493659.15</v>
      </c>
      <c r="G35" s="215">
        <f t="shared" si="14"/>
        <v>344042762.54999995</v>
      </c>
      <c r="H35" s="215">
        <f t="shared" si="14"/>
        <v>34387822</v>
      </c>
      <c r="I35" s="215">
        <f t="shared" si="4"/>
        <v>305318545</v>
      </c>
      <c r="J35" s="215">
        <v>28561314</v>
      </c>
      <c r="K35" s="215">
        <v>4170241</v>
      </c>
      <c r="L35" s="215">
        <v>4025471</v>
      </c>
      <c r="M35" s="215">
        <v>267180691</v>
      </c>
      <c r="N35" s="215">
        <v>1380828</v>
      </c>
      <c r="O35" s="215">
        <f t="shared" si="14"/>
        <v>136700121</v>
      </c>
      <c r="P35" s="215">
        <f t="shared" si="14"/>
        <v>12325218.3</v>
      </c>
      <c r="Q35" s="215">
        <f t="shared" si="14"/>
        <v>-1343179</v>
      </c>
      <c r="R35" s="215">
        <f t="shared" si="14"/>
        <v>14468188.15</v>
      </c>
      <c r="S35" s="215">
        <f t="shared" si="14"/>
        <v>76862071.54999998</v>
      </c>
      <c r="T35" s="215">
        <f t="shared" si="14"/>
        <v>34387822</v>
      </c>
      <c r="U35" s="216">
        <f t="shared" si="1"/>
        <v>0.7765915173442152</v>
      </c>
      <c r="V35" s="251">
        <f t="shared" si="2"/>
        <v>-1380828</v>
      </c>
    </row>
    <row r="36" spans="1:86" s="224" customFormat="1" ht="17.25" customHeight="1">
      <c r="A36" s="220">
        <v>24</v>
      </c>
      <c r="B36" s="221" t="s">
        <v>87</v>
      </c>
      <c r="C36" s="222">
        <f t="shared" si="3"/>
        <v>144915989</v>
      </c>
      <c r="D36" s="222">
        <v>10933000</v>
      </c>
      <c r="E36" s="222">
        <f>2425062+402000</f>
        <v>2827062</v>
      </c>
      <c r="F36" s="222">
        <v>5667000</v>
      </c>
      <c r="G36" s="222">
        <v>91245480</v>
      </c>
      <c r="H36" s="222">
        <f>145094931-110672542-178942</f>
        <v>34243447</v>
      </c>
      <c r="I36" s="222">
        <f t="shared" si="4"/>
        <v>72860372</v>
      </c>
      <c r="J36" s="222">
        <v>9154920</v>
      </c>
      <c r="K36" s="222">
        <v>3252000</v>
      </c>
      <c r="L36" s="222"/>
      <c r="M36" s="222">
        <v>60194332</v>
      </c>
      <c r="N36" s="222">
        <v>259120</v>
      </c>
      <c r="O36" s="222">
        <f t="shared" si="10"/>
        <v>72314737</v>
      </c>
      <c r="P36" s="222">
        <f t="shared" si="5"/>
        <v>1778080</v>
      </c>
      <c r="Q36" s="222">
        <f t="shared" si="7"/>
        <v>-424938</v>
      </c>
      <c r="R36" s="222">
        <f t="shared" si="7"/>
        <v>5667000</v>
      </c>
      <c r="S36" s="222">
        <f t="shared" si="7"/>
        <v>31051148</v>
      </c>
      <c r="T36" s="222">
        <f t="shared" si="6"/>
        <v>34243447</v>
      </c>
      <c r="U36" s="223">
        <f t="shared" si="1"/>
        <v>0.6596965899023163</v>
      </c>
      <c r="V36" s="251">
        <f t="shared" si="2"/>
        <v>-259120</v>
      </c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</row>
    <row r="37" spans="1:86" s="203" customFormat="1" ht="17.25" customHeight="1">
      <c r="A37" s="43">
        <f>A36+1</f>
        <v>25</v>
      </c>
      <c r="B37" s="44" t="s">
        <v>88</v>
      </c>
      <c r="C37" s="200">
        <f>SUM(D37:H37)</f>
        <v>17908060</v>
      </c>
      <c r="D37" s="200">
        <f>17908060*10%</f>
        <v>1790806</v>
      </c>
      <c r="E37" s="200"/>
      <c r="F37" s="200">
        <f>D37/2</f>
        <v>895403</v>
      </c>
      <c r="G37" s="200">
        <f>17908060*85%</f>
        <v>15221851</v>
      </c>
      <c r="H37" s="200"/>
      <c r="I37" s="200">
        <f t="shared" si="4"/>
        <v>22828000</v>
      </c>
      <c r="J37" s="200">
        <v>1843410</v>
      </c>
      <c r="K37" s="200"/>
      <c r="L37" s="200"/>
      <c r="M37" s="200">
        <v>20773450</v>
      </c>
      <c r="N37" s="200">
        <v>211140</v>
      </c>
      <c r="O37" s="200">
        <f t="shared" si="10"/>
        <v>-4708800</v>
      </c>
      <c r="P37" s="200">
        <f t="shared" si="5"/>
        <v>-52604</v>
      </c>
      <c r="Q37" s="200">
        <f t="shared" si="7"/>
        <v>0</v>
      </c>
      <c r="R37" s="200">
        <f t="shared" si="7"/>
        <v>895403</v>
      </c>
      <c r="S37" s="200">
        <f t="shared" si="7"/>
        <v>-5551599</v>
      </c>
      <c r="T37" s="200">
        <f t="shared" si="6"/>
        <v>0</v>
      </c>
      <c r="U37" s="201">
        <f t="shared" si="1"/>
        <v>1.3647124781342295</v>
      </c>
      <c r="V37" s="251">
        <f t="shared" si="2"/>
        <v>-211140</v>
      </c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</row>
    <row r="38" spans="1:86" s="203" customFormat="1" ht="17.25" customHeight="1">
      <c r="A38" s="43">
        <f>A37+1</f>
        <v>26</v>
      </c>
      <c r="B38" s="44" t="s">
        <v>89</v>
      </c>
      <c r="C38" s="200">
        <f t="shared" si="3"/>
        <v>42960580</v>
      </c>
      <c r="D38" s="200">
        <v>4691843</v>
      </c>
      <c r="E38" s="200"/>
      <c r="F38" s="200">
        <v>195814</v>
      </c>
      <c r="G38" s="200">
        <v>38072923</v>
      </c>
      <c r="H38" s="200"/>
      <c r="I38" s="200">
        <f t="shared" si="4"/>
        <v>42915248</v>
      </c>
      <c r="J38" s="200">
        <v>4691843</v>
      </c>
      <c r="K38" s="200"/>
      <c r="L38" s="200"/>
      <c r="M38" s="200">
        <v>38072923</v>
      </c>
      <c r="N38" s="200">
        <v>150482</v>
      </c>
      <c r="O38" s="200">
        <f t="shared" si="10"/>
        <v>195814</v>
      </c>
      <c r="P38" s="200">
        <f t="shared" si="5"/>
        <v>0</v>
      </c>
      <c r="Q38" s="200">
        <f t="shared" si="7"/>
        <v>0</v>
      </c>
      <c r="R38" s="200">
        <f t="shared" si="7"/>
        <v>195814</v>
      </c>
      <c r="S38" s="200">
        <f t="shared" si="7"/>
        <v>0</v>
      </c>
      <c r="T38" s="200">
        <f t="shared" si="6"/>
        <v>0</v>
      </c>
      <c r="U38" s="201">
        <f t="shared" si="1"/>
        <v>1</v>
      </c>
      <c r="V38" s="251">
        <f t="shared" si="2"/>
        <v>-150482</v>
      </c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</row>
    <row r="39" spans="1:86" s="203" customFormat="1" ht="17.25" customHeight="1">
      <c r="A39" s="43">
        <f>A38+1</f>
        <v>27</v>
      </c>
      <c r="B39" s="44" t="s">
        <v>90</v>
      </c>
      <c r="C39" s="200">
        <f t="shared" si="3"/>
        <v>63894146</v>
      </c>
      <c r="D39" s="200">
        <v>6374977</v>
      </c>
      <c r="E39" s="200"/>
      <c r="F39" s="200">
        <v>3187489</v>
      </c>
      <c r="G39" s="200">
        <v>54187305</v>
      </c>
      <c r="H39" s="200">
        <v>144375</v>
      </c>
      <c r="I39" s="200">
        <f t="shared" si="4"/>
        <v>44387825</v>
      </c>
      <c r="J39" s="200">
        <v>2897216</v>
      </c>
      <c r="K39" s="200"/>
      <c r="L39" s="200">
        <v>4025471</v>
      </c>
      <c r="M39" s="200">
        <v>37016386</v>
      </c>
      <c r="N39" s="200">
        <v>448752</v>
      </c>
      <c r="O39" s="200">
        <f t="shared" si="10"/>
        <v>19955073</v>
      </c>
      <c r="P39" s="200">
        <f t="shared" si="5"/>
        <v>3477761</v>
      </c>
      <c r="Q39" s="200">
        <f t="shared" si="7"/>
        <v>0</v>
      </c>
      <c r="R39" s="200">
        <f t="shared" si="7"/>
        <v>-837982</v>
      </c>
      <c r="S39" s="200">
        <f t="shared" si="7"/>
        <v>17170919</v>
      </c>
      <c r="T39" s="200">
        <f t="shared" si="6"/>
        <v>144375</v>
      </c>
      <c r="U39" s="201">
        <f t="shared" si="1"/>
        <v>0.6831191549385968</v>
      </c>
      <c r="V39" s="251">
        <f t="shared" si="2"/>
        <v>-448752</v>
      </c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</row>
    <row r="40" spans="1:86" s="227" customFormat="1" ht="17.25" customHeight="1">
      <c r="A40" s="76">
        <f>A39+1</f>
        <v>28</v>
      </c>
      <c r="B40" s="77" t="s">
        <v>91</v>
      </c>
      <c r="C40" s="225">
        <f t="shared" si="3"/>
        <v>170959063</v>
      </c>
      <c r="D40" s="225">
        <f>170959063*10%</f>
        <v>17095906.3</v>
      </c>
      <c r="E40" s="225"/>
      <c r="F40" s="225">
        <f>D40/2</f>
        <v>8547953.15</v>
      </c>
      <c r="G40" s="225">
        <f>170959063*85%</f>
        <v>145315203.54999998</v>
      </c>
      <c r="H40" s="225"/>
      <c r="I40" s="225">
        <f t="shared" si="4"/>
        <v>122327100</v>
      </c>
      <c r="J40" s="225">
        <v>9973925</v>
      </c>
      <c r="K40" s="225">
        <v>918241</v>
      </c>
      <c r="L40" s="225"/>
      <c r="M40" s="225">
        <v>111123600</v>
      </c>
      <c r="N40" s="225">
        <v>311334</v>
      </c>
      <c r="O40" s="225">
        <f t="shared" si="10"/>
        <v>48943296.999999985</v>
      </c>
      <c r="P40" s="225">
        <f t="shared" si="5"/>
        <v>7121981.300000001</v>
      </c>
      <c r="Q40" s="225">
        <f t="shared" si="7"/>
        <v>-918241</v>
      </c>
      <c r="R40" s="225">
        <f t="shared" si="7"/>
        <v>8547953.15</v>
      </c>
      <c r="S40" s="225">
        <f t="shared" si="7"/>
        <v>34191603.54999998</v>
      </c>
      <c r="T40" s="225">
        <f t="shared" si="6"/>
        <v>0</v>
      </c>
      <c r="U40" s="226">
        <f t="shared" si="1"/>
        <v>0.764707320949832</v>
      </c>
      <c r="V40" s="251">
        <f t="shared" si="2"/>
        <v>-311333.9999999851</v>
      </c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</row>
    <row r="41" spans="1:86" s="234" customFormat="1" ht="17.25" customHeight="1">
      <c r="A41" s="228" t="s">
        <v>118</v>
      </c>
      <c r="B41" s="229" t="s">
        <v>66</v>
      </c>
      <c r="C41" s="230">
        <f>SUM(C42:C43)</f>
        <v>27220985</v>
      </c>
      <c r="D41" s="230">
        <f aca="true" t="shared" si="15" ref="D41:T41">SUM(D42:D43)</f>
        <v>3968072</v>
      </c>
      <c r="E41" s="230">
        <f t="shared" si="15"/>
        <v>0</v>
      </c>
      <c r="F41" s="230">
        <f t="shared" si="15"/>
        <v>900000</v>
      </c>
      <c r="G41" s="230">
        <f t="shared" si="15"/>
        <v>23237070</v>
      </c>
      <c r="H41" s="230">
        <f t="shared" si="15"/>
        <v>-884157</v>
      </c>
      <c r="I41" s="230">
        <f t="shared" si="4"/>
        <v>24861213</v>
      </c>
      <c r="J41" s="230">
        <v>2083713</v>
      </c>
      <c r="K41" s="230">
        <v>1062999</v>
      </c>
      <c r="L41" s="230">
        <v>0</v>
      </c>
      <c r="M41" s="215">
        <v>21534015</v>
      </c>
      <c r="N41" s="230">
        <v>180486</v>
      </c>
      <c r="O41" s="230">
        <f t="shared" si="15"/>
        <v>2540258</v>
      </c>
      <c r="P41" s="230">
        <f t="shared" si="15"/>
        <v>1884359</v>
      </c>
      <c r="Q41" s="230">
        <f t="shared" si="15"/>
        <v>-1062999</v>
      </c>
      <c r="R41" s="230">
        <f t="shared" si="15"/>
        <v>900000</v>
      </c>
      <c r="S41" s="230">
        <f t="shared" si="15"/>
        <v>1703055</v>
      </c>
      <c r="T41" s="230">
        <f t="shared" si="15"/>
        <v>-884157</v>
      </c>
      <c r="U41" s="230">
        <f>SUM(U42:U43)</f>
        <v>1.8886892156862745</v>
      </c>
      <c r="V41" s="251">
        <f t="shared" si="2"/>
        <v>-180486</v>
      </c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</row>
    <row r="42" spans="1:86" s="199" customFormat="1" ht="17.25" customHeight="1">
      <c r="A42" s="41">
        <v>29</v>
      </c>
      <c r="B42" s="42" t="s">
        <v>92</v>
      </c>
      <c r="C42" s="193">
        <f>SUM(D42:H42)</f>
        <v>9220985</v>
      </c>
      <c r="D42" s="193">
        <v>2168072</v>
      </c>
      <c r="E42" s="193"/>
      <c r="F42" s="193"/>
      <c r="G42" s="193">
        <v>7937070</v>
      </c>
      <c r="H42" s="193">
        <f>9220985-10105142</f>
        <v>-884157</v>
      </c>
      <c r="I42" s="193">
        <f t="shared" si="4"/>
        <v>10147658</v>
      </c>
      <c r="J42" s="193">
        <v>1105073</v>
      </c>
      <c r="K42" s="193">
        <v>1062999</v>
      </c>
      <c r="L42" s="193"/>
      <c r="M42" s="238">
        <v>7937070</v>
      </c>
      <c r="N42" s="193">
        <v>42516</v>
      </c>
      <c r="O42" s="193">
        <f t="shared" si="10"/>
        <v>-884157</v>
      </c>
      <c r="P42" s="193">
        <f t="shared" si="5"/>
        <v>1062999</v>
      </c>
      <c r="Q42" s="193">
        <f t="shared" si="7"/>
        <v>-1062999</v>
      </c>
      <c r="R42" s="193">
        <f t="shared" si="7"/>
        <v>0</v>
      </c>
      <c r="S42" s="193">
        <f t="shared" si="7"/>
        <v>0</v>
      </c>
      <c r="T42" s="193">
        <f t="shared" si="6"/>
        <v>-884157</v>
      </c>
      <c r="U42" s="235">
        <f t="shared" si="1"/>
        <v>1</v>
      </c>
      <c r="V42" s="251">
        <f t="shared" si="2"/>
        <v>-42516</v>
      </c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</row>
    <row r="43" spans="1:86" s="203" customFormat="1" ht="17.25" customHeight="1">
      <c r="A43" s="43">
        <v>30</v>
      </c>
      <c r="B43" s="44" t="s">
        <v>93</v>
      </c>
      <c r="C43" s="200">
        <f t="shared" si="3"/>
        <v>18000000</v>
      </c>
      <c r="D43" s="200">
        <v>1800000</v>
      </c>
      <c r="E43" s="200"/>
      <c r="F43" s="200">
        <v>900000</v>
      </c>
      <c r="G43" s="200">
        <v>15300000</v>
      </c>
      <c r="H43" s="200"/>
      <c r="I43" s="200">
        <f t="shared" si="4"/>
        <v>14713555</v>
      </c>
      <c r="J43" s="200">
        <v>978640</v>
      </c>
      <c r="K43" s="200"/>
      <c r="L43" s="200"/>
      <c r="M43" s="200">
        <v>13596945</v>
      </c>
      <c r="N43" s="200">
        <v>137970</v>
      </c>
      <c r="O43" s="200">
        <f t="shared" si="10"/>
        <v>3424415</v>
      </c>
      <c r="P43" s="200">
        <f t="shared" si="5"/>
        <v>821360</v>
      </c>
      <c r="Q43" s="200">
        <f t="shared" si="7"/>
        <v>0</v>
      </c>
      <c r="R43" s="200">
        <f t="shared" si="7"/>
        <v>900000</v>
      </c>
      <c r="S43" s="200">
        <f t="shared" si="7"/>
        <v>1703055</v>
      </c>
      <c r="T43" s="200">
        <f t="shared" si="6"/>
        <v>0</v>
      </c>
      <c r="U43" s="201">
        <f t="shared" si="1"/>
        <v>0.8886892156862745</v>
      </c>
      <c r="V43" s="251">
        <f t="shared" si="2"/>
        <v>-137970</v>
      </c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</row>
    <row r="44" spans="1:86" s="234" customFormat="1" ht="17.25" customHeight="1">
      <c r="A44" s="239"/>
      <c r="B44" s="240" t="s">
        <v>60</v>
      </c>
      <c r="C44" s="241">
        <f>C8+C13+C21+C27+C35+C41</f>
        <v>1062538096.7</v>
      </c>
      <c r="D44" s="241">
        <f aca="true" t="shared" si="16" ref="D44:T44">D8+D13+D21+D27+D35+D41</f>
        <v>88404821.1</v>
      </c>
      <c r="E44" s="241">
        <f t="shared" si="16"/>
        <v>15407081</v>
      </c>
      <c r="F44" s="241">
        <f t="shared" si="16"/>
        <v>41589171.95</v>
      </c>
      <c r="G44" s="241">
        <f t="shared" si="16"/>
        <v>862421609.65</v>
      </c>
      <c r="H44" s="241">
        <f t="shared" si="16"/>
        <v>54715413</v>
      </c>
      <c r="I44" s="241">
        <f t="shared" si="4"/>
        <v>722236851</v>
      </c>
      <c r="J44" s="241">
        <v>54013037</v>
      </c>
      <c r="K44" s="241">
        <v>6691164</v>
      </c>
      <c r="L44" s="241">
        <v>4087150</v>
      </c>
      <c r="M44" s="241">
        <v>654074888</v>
      </c>
      <c r="N44" s="241">
        <v>3370612</v>
      </c>
      <c r="O44" s="241">
        <f t="shared" si="16"/>
        <v>343671857.7</v>
      </c>
      <c r="P44" s="241">
        <f t="shared" si="16"/>
        <v>34391784.1</v>
      </c>
      <c r="Q44" s="241">
        <f t="shared" si="16"/>
        <v>8715917</v>
      </c>
      <c r="R44" s="241">
        <f t="shared" si="16"/>
        <v>37502021.95</v>
      </c>
      <c r="S44" s="241">
        <f t="shared" si="16"/>
        <v>208346721.64999998</v>
      </c>
      <c r="T44" s="241">
        <f t="shared" si="16"/>
        <v>54715413</v>
      </c>
      <c r="U44" s="242">
        <f>M44/G44</f>
        <v>0.7584166267186253</v>
      </c>
      <c r="V44" s="251">
        <f t="shared" si="2"/>
        <v>-3370611.9999999404</v>
      </c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</row>
    <row r="45" spans="3:86" s="244" customFormat="1" ht="17.25" customHeight="1">
      <c r="C45" s="245"/>
      <c r="F45" s="245"/>
      <c r="G45" s="245"/>
      <c r="H45" s="245"/>
      <c r="I45" s="245"/>
      <c r="J45" s="245"/>
      <c r="K45" s="245"/>
      <c r="M45" s="247"/>
      <c r="N45" s="247"/>
      <c r="U45" s="249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</row>
    <row r="46" spans="6:86" s="244" customFormat="1" ht="17.25" customHeight="1">
      <c r="F46" s="245"/>
      <c r="M46" s="247"/>
      <c r="N46" s="247"/>
      <c r="U46" s="249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</row>
    <row r="47" spans="13:15" ht="17.25" customHeight="1">
      <c r="M47" s="15"/>
      <c r="N47" s="15"/>
      <c r="O47" s="14"/>
    </row>
    <row r="48" spans="13:15" ht="17.25" customHeight="1">
      <c r="M48" s="15"/>
      <c r="N48" s="15"/>
      <c r="O48" s="14"/>
    </row>
  </sheetData>
  <sheetProtection/>
  <mergeCells count="28">
    <mergeCell ref="U1:U6"/>
    <mergeCell ref="C2:C6"/>
    <mergeCell ref="D2:H2"/>
    <mergeCell ref="I2:I6"/>
    <mergeCell ref="J2:J6"/>
    <mergeCell ref="D3:G3"/>
    <mergeCell ref="H3:H6"/>
    <mergeCell ref="P2:S2"/>
    <mergeCell ref="P3:P6"/>
    <mergeCell ref="Q3:Q6"/>
    <mergeCell ref="R3:R6"/>
    <mergeCell ref="S3:S6"/>
    <mergeCell ref="A1:A6"/>
    <mergeCell ref="B1:B6"/>
    <mergeCell ref="C1:H1"/>
    <mergeCell ref="I1:N1"/>
    <mergeCell ref="O1:T1"/>
    <mergeCell ref="T2:T6"/>
    <mergeCell ref="D4:D6"/>
    <mergeCell ref="E4:E6"/>
    <mergeCell ref="F4:F6"/>
    <mergeCell ref="G4:G6"/>
    <mergeCell ref="K2:K6"/>
    <mergeCell ref="L2:L6"/>
    <mergeCell ref="M2:N4"/>
    <mergeCell ref="O2:O6"/>
    <mergeCell ref="M5:M6"/>
    <mergeCell ref="N5:N6"/>
  </mergeCells>
  <printOptions horizontalCentered="1"/>
  <pageMargins left="0.2" right="0.2" top="0.75" bottom="0.15" header="0" footer="0"/>
  <pageSetup horizontalDpi="600" verticalDpi="600" orientation="landscape" paperSize="9" r:id="rId3"/>
  <headerFooter>
    <oddHeader>&amp;C&amp;"Time new roman,Bold"&amp;10Phụ biểu 10. Kết quả giải  ngân tiền DVMTR thu được trong năm 2013 của Quỹ Bảo vệ và Phát triển rừng tỉnh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51"/>
  <sheetViews>
    <sheetView zoomScale="115" zoomScaleNormal="115" zoomScalePageLayoutView="0" workbookViewId="0" topLeftCell="A1">
      <pane xSplit="2" ySplit="8" topLeftCell="C43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C48" sqref="C48"/>
    </sheetView>
  </sheetViews>
  <sheetFormatPr defaultColWidth="9.140625" defaultRowHeight="35.25" customHeight="1"/>
  <cols>
    <col min="1" max="1" width="6.00390625" style="14" customWidth="1"/>
    <col min="2" max="2" width="12.28125" style="14" customWidth="1"/>
    <col min="3" max="3" width="10.140625" style="14" customWidth="1"/>
    <col min="4" max="5" width="9.28125" style="14" customWidth="1"/>
    <col min="6" max="6" width="13.28125" style="14" customWidth="1"/>
    <col min="7" max="7" width="12.00390625" style="14" customWidth="1"/>
    <col min="8" max="8" width="9.57421875" style="14" customWidth="1"/>
    <col min="9" max="9" width="12.140625" style="14" customWidth="1"/>
    <col min="10" max="10" width="10.28125" style="14" customWidth="1"/>
    <col min="11" max="11" width="8.7109375" style="14" customWidth="1"/>
    <col min="12" max="12" width="10.140625" style="14" customWidth="1"/>
    <col min="13" max="13" width="10.57421875" style="14" customWidth="1"/>
    <col min="14" max="14" width="14.7109375" style="14" customWidth="1"/>
    <col min="15" max="15" width="9.57421875" style="14" customWidth="1"/>
    <col min="16" max="16" width="8.28125" style="15" customWidth="1"/>
    <col min="17" max="17" width="5.28125" style="15" customWidth="1"/>
    <col min="18" max="19" width="9.28125" style="15" customWidth="1"/>
    <col min="20" max="20" width="6.57421875" style="16" customWidth="1"/>
    <col min="21" max="21" width="10.57421875" style="16" customWidth="1"/>
    <col min="22" max="22" width="6.421875" style="16" customWidth="1"/>
    <col min="23" max="23" width="8.421875" style="16" customWidth="1"/>
    <col min="24" max="24" width="9.28125" style="16" customWidth="1"/>
    <col min="25" max="25" width="7.421875" style="16" customWidth="1"/>
    <col min="26" max="26" width="6.7109375" style="16" customWidth="1"/>
    <col min="27" max="27" width="9.140625" style="16" customWidth="1"/>
    <col min="28" max="28" width="8.140625" style="16" customWidth="1"/>
    <col min="29" max="29" width="7.7109375" style="16" customWidth="1"/>
    <col min="30" max="30" width="8.8515625" style="16" customWidth="1"/>
    <col min="31" max="31" width="7.140625" style="16" customWidth="1"/>
    <col min="32" max="32" width="7.7109375" style="16" customWidth="1"/>
    <col min="33" max="33" width="9.57421875" style="16" customWidth="1"/>
    <col min="34" max="34" width="7.7109375" style="16" customWidth="1"/>
    <col min="35" max="35" width="8.00390625" style="16" customWidth="1"/>
    <col min="36" max="36" width="9.57421875" style="16" customWidth="1"/>
    <col min="37" max="39" width="8.28125" style="14" customWidth="1"/>
    <col min="40" max="41" width="9.28125" style="14" customWidth="1"/>
    <col min="42" max="42" width="8.00390625" style="88" customWidth="1"/>
    <col min="43" max="43" width="8.00390625" style="86" customWidth="1"/>
    <col min="44" max="44" width="12.00390625" style="86" bestFit="1" customWidth="1"/>
    <col min="45" max="45" width="10.00390625" style="86" bestFit="1" customWidth="1"/>
    <col min="46" max="46" width="9.28125" style="86" bestFit="1" customWidth="1"/>
    <col min="47" max="108" width="9.140625" style="86" customWidth="1"/>
    <col min="109" max="213" width="9.140625" style="14" customWidth="1"/>
    <col min="214" max="214" width="4.8515625" style="14" customWidth="1"/>
    <col min="215" max="215" width="11.7109375" style="14" customWidth="1"/>
    <col min="216" max="216" width="11.421875" style="14" customWidth="1"/>
    <col min="217" max="217" width="12.7109375" style="14" customWidth="1"/>
    <col min="218" max="218" width="9.57421875" style="14" customWidth="1"/>
    <col min="219" max="220" width="10.140625" style="14" customWidth="1"/>
    <col min="221" max="221" width="10.57421875" style="14" customWidth="1"/>
    <col min="222" max="222" width="7.7109375" style="14" customWidth="1"/>
    <col min="223" max="223" width="9.140625" style="14" customWidth="1"/>
    <col min="224" max="224" width="7.8515625" style="14" customWidth="1"/>
    <col min="225" max="225" width="9.00390625" style="14" customWidth="1"/>
    <col min="226" max="226" width="9.28125" style="14" customWidth="1"/>
    <col min="227" max="227" width="8.140625" style="14" customWidth="1"/>
    <col min="228" max="16384" width="9.140625" style="14" customWidth="1"/>
  </cols>
  <sheetData>
    <row r="1" spans="1:108" s="17" customFormat="1" ht="15.75" customHeight="1">
      <c r="A1" s="875" t="s">
        <v>0</v>
      </c>
      <c r="B1" s="875" t="s">
        <v>131</v>
      </c>
      <c r="C1" s="872" t="s">
        <v>165</v>
      </c>
      <c r="D1" s="873"/>
      <c r="E1" s="873"/>
      <c r="F1" s="873"/>
      <c r="G1" s="873"/>
      <c r="H1" s="873"/>
      <c r="I1" s="889" t="s">
        <v>128</v>
      </c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  <c r="V1" s="890"/>
      <c r="W1" s="890"/>
      <c r="X1" s="890"/>
      <c r="Y1" s="890"/>
      <c r="Z1" s="890"/>
      <c r="AA1" s="890"/>
      <c r="AB1" s="890"/>
      <c r="AC1" s="891"/>
      <c r="AD1" s="95"/>
      <c r="AE1" s="95"/>
      <c r="AF1" s="95"/>
      <c r="AG1" s="95"/>
      <c r="AH1" s="95"/>
      <c r="AI1" s="95"/>
      <c r="AJ1" s="869" t="s">
        <v>163</v>
      </c>
      <c r="AK1" s="869"/>
      <c r="AL1" s="869"/>
      <c r="AM1" s="869"/>
      <c r="AN1" s="869"/>
      <c r="AO1" s="870"/>
      <c r="AP1" s="862" t="s">
        <v>250</v>
      </c>
      <c r="AQ1" s="887" t="s">
        <v>251</v>
      </c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</row>
    <row r="2" spans="1:108" s="17" customFormat="1" ht="15" customHeight="1">
      <c r="A2" s="876"/>
      <c r="B2" s="876"/>
      <c r="C2" s="851" t="s">
        <v>121</v>
      </c>
      <c r="D2" s="868" t="s">
        <v>95</v>
      </c>
      <c r="E2" s="869"/>
      <c r="F2" s="869"/>
      <c r="G2" s="869"/>
      <c r="H2" s="870"/>
      <c r="I2" s="852" t="s">
        <v>164</v>
      </c>
      <c r="J2" s="852" t="s">
        <v>129</v>
      </c>
      <c r="K2" s="851" t="s">
        <v>225</v>
      </c>
      <c r="L2" s="852" t="s">
        <v>130</v>
      </c>
      <c r="M2" s="853" t="s">
        <v>122</v>
      </c>
      <c r="N2" s="853"/>
      <c r="O2" s="887" t="s">
        <v>95</v>
      </c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96"/>
      <c r="AE2" s="96"/>
      <c r="AF2" s="96"/>
      <c r="AG2" s="96"/>
      <c r="AH2" s="96"/>
      <c r="AI2" s="96"/>
      <c r="AJ2" s="878" t="s">
        <v>143</v>
      </c>
      <c r="AK2" s="870" t="s">
        <v>5</v>
      </c>
      <c r="AL2" s="851" t="s">
        <v>225</v>
      </c>
      <c r="AM2" s="851" t="s">
        <v>132</v>
      </c>
      <c r="AN2" s="862" t="s">
        <v>133</v>
      </c>
      <c r="AO2" s="878" t="s">
        <v>155</v>
      </c>
      <c r="AP2" s="863"/>
      <c r="AQ2" s="887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</row>
    <row r="3" spans="1:108" s="17" customFormat="1" ht="21.75" customHeight="1">
      <c r="A3" s="876"/>
      <c r="B3" s="876"/>
      <c r="C3" s="852"/>
      <c r="D3" s="851" t="s">
        <v>5</v>
      </c>
      <c r="E3" s="851" t="s">
        <v>225</v>
      </c>
      <c r="F3" s="851" t="s">
        <v>154</v>
      </c>
      <c r="G3" s="851" t="s">
        <v>120</v>
      </c>
      <c r="H3" s="871" t="s">
        <v>167</v>
      </c>
      <c r="I3" s="852"/>
      <c r="J3" s="852"/>
      <c r="K3" s="852"/>
      <c r="L3" s="852"/>
      <c r="M3" s="871"/>
      <c r="N3" s="871"/>
      <c r="O3" s="878" t="s">
        <v>13</v>
      </c>
      <c r="P3" s="878"/>
      <c r="Q3" s="878"/>
      <c r="R3" s="878"/>
      <c r="S3" s="878"/>
      <c r="T3" s="878"/>
      <c r="U3" s="878"/>
      <c r="V3" s="878"/>
      <c r="W3" s="878"/>
      <c r="X3" s="866" t="s">
        <v>123</v>
      </c>
      <c r="Y3" s="866"/>
      <c r="Z3" s="867"/>
      <c r="AA3" s="865" t="s">
        <v>98</v>
      </c>
      <c r="AB3" s="866"/>
      <c r="AC3" s="866"/>
      <c r="AD3" s="866"/>
      <c r="AE3" s="866"/>
      <c r="AF3" s="866"/>
      <c r="AG3" s="866"/>
      <c r="AH3" s="866"/>
      <c r="AI3" s="867"/>
      <c r="AJ3" s="878"/>
      <c r="AK3" s="885"/>
      <c r="AL3" s="852"/>
      <c r="AM3" s="852"/>
      <c r="AN3" s="863"/>
      <c r="AO3" s="878"/>
      <c r="AP3" s="863"/>
      <c r="AQ3" s="887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s="17" customFormat="1" ht="18.75" customHeight="1">
      <c r="A4" s="876"/>
      <c r="B4" s="876"/>
      <c r="C4" s="852"/>
      <c r="D4" s="852"/>
      <c r="E4" s="852"/>
      <c r="F4" s="852"/>
      <c r="G4" s="852"/>
      <c r="H4" s="871"/>
      <c r="I4" s="852"/>
      <c r="J4" s="852"/>
      <c r="K4" s="852"/>
      <c r="L4" s="852"/>
      <c r="M4" s="851" t="s">
        <v>124</v>
      </c>
      <c r="N4" s="851" t="s">
        <v>125</v>
      </c>
      <c r="O4" s="851" t="s">
        <v>96</v>
      </c>
      <c r="P4" s="857" t="s">
        <v>99</v>
      </c>
      <c r="Q4" s="857" t="s">
        <v>145</v>
      </c>
      <c r="R4" s="854" t="s">
        <v>95</v>
      </c>
      <c r="S4" s="855"/>
      <c r="T4" s="855"/>
      <c r="U4" s="855"/>
      <c r="V4" s="855"/>
      <c r="W4" s="856"/>
      <c r="X4" s="862" t="s">
        <v>124</v>
      </c>
      <c r="Y4" s="862" t="s">
        <v>125</v>
      </c>
      <c r="Z4" s="862" t="s">
        <v>144</v>
      </c>
      <c r="AA4" s="882" t="s">
        <v>96</v>
      </c>
      <c r="AB4" s="882" t="s">
        <v>97</v>
      </c>
      <c r="AC4" s="879" t="s">
        <v>146</v>
      </c>
      <c r="AD4" s="854" t="s">
        <v>95</v>
      </c>
      <c r="AE4" s="855"/>
      <c r="AF4" s="855"/>
      <c r="AG4" s="855"/>
      <c r="AH4" s="855"/>
      <c r="AI4" s="856"/>
      <c r="AJ4" s="878"/>
      <c r="AK4" s="885"/>
      <c r="AL4" s="852"/>
      <c r="AM4" s="852"/>
      <c r="AN4" s="863"/>
      <c r="AO4" s="878"/>
      <c r="AP4" s="863"/>
      <c r="AQ4" s="887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43" ht="19.5" customHeight="1">
      <c r="A5" s="876"/>
      <c r="B5" s="876"/>
      <c r="C5" s="852"/>
      <c r="D5" s="852"/>
      <c r="E5" s="852"/>
      <c r="F5" s="852"/>
      <c r="G5" s="852"/>
      <c r="H5" s="871"/>
      <c r="I5" s="852"/>
      <c r="J5" s="852"/>
      <c r="K5" s="852"/>
      <c r="L5" s="852"/>
      <c r="M5" s="852"/>
      <c r="N5" s="852"/>
      <c r="O5" s="852"/>
      <c r="P5" s="881"/>
      <c r="Q5" s="881"/>
      <c r="R5" s="857" t="s">
        <v>127</v>
      </c>
      <c r="S5" s="859" t="s">
        <v>14</v>
      </c>
      <c r="T5" s="860"/>
      <c r="U5" s="861" t="s">
        <v>306</v>
      </c>
      <c r="V5" s="861"/>
      <c r="W5" s="861"/>
      <c r="X5" s="863"/>
      <c r="Y5" s="863"/>
      <c r="Z5" s="863"/>
      <c r="AA5" s="882"/>
      <c r="AB5" s="882"/>
      <c r="AC5" s="879"/>
      <c r="AD5" s="857" t="s">
        <v>127</v>
      </c>
      <c r="AE5" s="859" t="s">
        <v>14</v>
      </c>
      <c r="AF5" s="860"/>
      <c r="AG5" s="861" t="s">
        <v>306</v>
      </c>
      <c r="AH5" s="861"/>
      <c r="AI5" s="861"/>
      <c r="AJ5" s="878"/>
      <c r="AK5" s="885"/>
      <c r="AL5" s="852"/>
      <c r="AM5" s="852"/>
      <c r="AN5" s="863"/>
      <c r="AO5" s="878"/>
      <c r="AP5" s="863"/>
      <c r="AQ5" s="887"/>
    </row>
    <row r="6" spans="1:43" ht="35.25" customHeight="1">
      <c r="A6" s="877"/>
      <c r="B6" s="877"/>
      <c r="C6" s="853"/>
      <c r="D6" s="853"/>
      <c r="E6" s="853"/>
      <c r="F6" s="853"/>
      <c r="G6" s="853"/>
      <c r="H6" s="871"/>
      <c r="I6" s="853"/>
      <c r="J6" s="853"/>
      <c r="K6" s="853"/>
      <c r="L6" s="853"/>
      <c r="M6" s="853"/>
      <c r="N6" s="853"/>
      <c r="O6" s="853"/>
      <c r="P6" s="858"/>
      <c r="Q6" s="858"/>
      <c r="R6" s="858"/>
      <c r="S6" s="49" t="s">
        <v>124</v>
      </c>
      <c r="T6" s="18" t="s">
        <v>125</v>
      </c>
      <c r="U6" s="19" t="s">
        <v>126</v>
      </c>
      <c r="V6" s="19" t="s">
        <v>125</v>
      </c>
      <c r="W6" s="19" t="s">
        <v>305</v>
      </c>
      <c r="X6" s="864"/>
      <c r="Y6" s="864"/>
      <c r="Z6" s="864"/>
      <c r="AA6" s="883"/>
      <c r="AB6" s="883"/>
      <c r="AC6" s="880"/>
      <c r="AD6" s="858"/>
      <c r="AE6" s="49" t="s">
        <v>124</v>
      </c>
      <c r="AF6" s="18" t="s">
        <v>125</v>
      </c>
      <c r="AG6" s="19" t="s">
        <v>126</v>
      </c>
      <c r="AH6" s="19" t="s">
        <v>125</v>
      </c>
      <c r="AI6" s="19" t="s">
        <v>305</v>
      </c>
      <c r="AJ6" s="878"/>
      <c r="AK6" s="886"/>
      <c r="AL6" s="853"/>
      <c r="AM6" s="853"/>
      <c r="AN6" s="864"/>
      <c r="AO6" s="878"/>
      <c r="AP6" s="864"/>
      <c r="AQ6" s="887"/>
    </row>
    <row r="7" spans="1:47" s="21" customFormat="1" ht="13.5" customHeight="1">
      <c r="A7" s="80" t="s">
        <v>9</v>
      </c>
      <c r="B7" s="80" t="s">
        <v>10</v>
      </c>
      <c r="C7" s="81" t="s">
        <v>157</v>
      </c>
      <c r="D7" s="81" t="s">
        <v>100</v>
      </c>
      <c r="E7" s="81" t="s">
        <v>101</v>
      </c>
      <c r="F7" s="81" t="s">
        <v>102</v>
      </c>
      <c r="G7" s="81" t="s">
        <v>103</v>
      </c>
      <c r="H7" s="81" t="s">
        <v>230</v>
      </c>
      <c r="I7" s="81" t="s">
        <v>134</v>
      </c>
      <c r="J7" s="81" t="s">
        <v>135</v>
      </c>
      <c r="K7" s="81" t="s">
        <v>231</v>
      </c>
      <c r="L7" s="81" t="s">
        <v>232</v>
      </c>
      <c r="M7" s="81" t="s">
        <v>235</v>
      </c>
      <c r="N7" s="81" t="s">
        <v>252</v>
      </c>
      <c r="O7" s="81" t="s">
        <v>237</v>
      </c>
      <c r="P7" s="82" t="s">
        <v>104</v>
      </c>
      <c r="Q7" s="82" t="s">
        <v>136</v>
      </c>
      <c r="R7" s="82" t="s">
        <v>137</v>
      </c>
      <c r="S7" s="82" t="s">
        <v>138</v>
      </c>
      <c r="T7" s="82" t="s">
        <v>139</v>
      </c>
      <c r="U7" s="82" t="s">
        <v>140</v>
      </c>
      <c r="V7" s="82" t="s">
        <v>141</v>
      </c>
      <c r="W7" s="82" t="s">
        <v>142</v>
      </c>
      <c r="X7" s="82" t="s">
        <v>158</v>
      </c>
      <c r="Y7" s="82" t="s">
        <v>159</v>
      </c>
      <c r="Z7" s="82" t="s">
        <v>160</v>
      </c>
      <c r="AA7" s="82" t="s">
        <v>239</v>
      </c>
      <c r="AB7" s="82" t="s">
        <v>161</v>
      </c>
      <c r="AC7" s="82" t="s">
        <v>218</v>
      </c>
      <c r="AD7" s="83" t="s">
        <v>219</v>
      </c>
      <c r="AE7" s="83" t="s">
        <v>220</v>
      </c>
      <c r="AF7" s="83" t="s">
        <v>221</v>
      </c>
      <c r="AG7" s="83" t="s">
        <v>222</v>
      </c>
      <c r="AH7" s="83" t="s">
        <v>223</v>
      </c>
      <c r="AI7" s="83" t="s">
        <v>224</v>
      </c>
      <c r="AJ7" s="83" t="s">
        <v>233</v>
      </c>
      <c r="AK7" s="82" t="s">
        <v>234</v>
      </c>
      <c r="AL7" s="82" t="s">
        <v>246</v>
      </c>
      <c r="AM7" s="80" t="s">
        <v>247</v>
      </c>
      <c r="AN7" s="80" t="s">
        <v>248</v>
      </c>
      <c r="AO7" s="80" t="s">
        <v>244</v>
      </c>
      <c r="AP7" s="80" t="s">
        <v>249</v>
      </c>
      <c r="AQ7" s="87">
        <v>41</v>
      </c>
      <c r="AU7" s="22"/>
    </row>
    <row r="8" spans="1:108" s="17" customFormat="1" ht="17.25" customHeight="1">
      <c r="A8" s="23" t="s">
        <v>105</v>
      </c>
      <c r="B8" s="24" t="s">
        <v>61</v>
      </c>
      <c r="C8" s="158">
        <f>SUM(C9:C12)</f>
        <v>713042005.7</v>
      </c>
      <c r="D8" s="158">
        <f aca="true" t="shared" si="0" ref="D8:AO8">SUM(D9:D12)</f>
        <v>41600848.2</v>
      </c>
      <c r="E8" s="158">
        <f t="shared" si="0"/>
        <v>11523000</v>
      </c>
      <c r="F8" s="158">
        <f t="shared" si="0"/>
        <v>26670922</v>
      </c>
      <c r="G8" s="158">
        <f t="shared" si="0"/>
        <v>597913623.5</v>
      </c>
      <c r="H8" s="158">
        <f t="shared" si="0"/>
        <v>35333612</v>
      </c>
      <c r="I8" s="158">
        <f t="shared" si="0"/>
        <v>569821925</v>
      </c>
      <c r="J8" s="158">
        <f t="shared" si="0"/>
        <v>22457639</v>
      </c>
      <c r="K8" s="158">
        <f t="shared" si="0"/>
        <v>78000</v>
      </c>
      <c r="L8" s="158">
        <f t="shared" si="0"/>
        <v>0</v>
      </c>
      <c r="M8" s="158">
        <f>SUM(M9:M12)</f>
        <v>547286286</v>
      </c>
      <c r="N8" s="158">
        <f t="shared" si="0"/>
        <v>1085011</v>
      </c>
      <c r="O8" s="158">
        <f t="shared" si="0"/>
        <v>30410626</v>
      </c>
      <c r="P8" s="158">
        <f t="shared" si="0"/>
        <v>80862</v>
      </c>
      <c r="Q8" s="158">
        <f t="shared" si="0"/>
        <v>77</v>
      </c>
      <c r="R8" s="158">
        <f t="shared" si="0"/>
        <v>2653564</v>
      </c>
      <c r="S8" s="158">
        <f t="shared" si="0"/>
        <v>7807590</v>
      </c>
      <c r="T8" s="158">
        <f t="shared" si="0"/>
        <v>22263</v>
      </c>
      <c r="U8" s="158">
        <f t="shared" si="0"/>
        <v>19949472</v>
      </c>
      <c r="V8" s="158">
        <f t="shared" si="0"/>
        <v>58598</v>
      </c>
      <c r="W8" s="158">
        <f t="shared" si="0"/>
        <v>1588</v>
      </c>
      <c r="X8" s="158">
        <f t="shared" si="0"/>
        <v>234668662</v>
      </c>
      <c r="Y8" s="158">
        <f t="shared" si="0"/>
        <v>570861</v>
      </c>
      <c r="Z8" s="158">
        <f t="shared" si="0"/>
        <v>56016</v>
      </c>
      <c r="AA8" s="158">
        <f t="shared" si="0"/>
        <v>282206998</v>
      </c>
      <c r="AB8" s="158">
        <f t="shared" si="0"/>
        <v>441365</v>
      </c>
      <c r="AC8" s="158">
        <f t="shared" si="0"/>
        <v>11</v>
      </c>
      <c r="AD8" s="158">
        <f t="shared" si="0"/>
        <v>21379000</v>
      </c>
      <c r="AE8" s="158">
        <f t="shared" si="0"/>
        <v>0</v>
      </c>
      <c r="AF8" s="158">
        <f t="shared" si="0"/>
        <v>0</v>
      </c>
      <c r="AG8" s="158">
        <f t="shared" si="0"/>
        <v>260827998</v>
      </c>
      <c r="AH8" s="158">
        <f t="shared" si="0"/>
        <v>441365</v>
      </c>
      <c r="AI8" s="158">
        <f t="shared" si="0"/>
        <v>57277</v>
      </c>
      <c r="AJ8" s="158">
        <f t="shared" si="0"/>
        <v>143220080.7</v>
      </c>
      <c r="AK8" s="158">
        <f t="shared" si="0"/>
        <v>19143209.2</v>
      </c>
      <c r="AL8" s="158">
        <f t="shared" si="0"/>
        <v>11445000</v>
      </c>
      <c r="AM8" s="158">
        <f t="shared" si="0"/>
        <v>26670922</v>
      </c>
      <c r="AN8" s="158">
        <f t="shared" si="0"/>
        <v>50627337.499999985</v>
      </c>
      <c r="AO8" s="158">
        <f t="shared" si="0"/>
        <v>35333612</v>
      </c>
      <c r="AP8" s="161">
        <f>M8/G8</f>
        <v>0.9153266700905002</v>
      </c>
      <c r="AQ8" s="162">
        <f>I8/C8</f>
        <v>0.7991421549430323</v>
      </c>
      <c r="AR8" s="160">
        <f>C9-D9-F9-G9-H9</f>
        <v>0</v>
      </c>
      <c r="AS8" s="160"/>
      <c r="AT8" s="160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</row>
    <row r="9" spans="1:108" s="199" customFormat="1" ht="15" customHeight="1">
      <c r="A9" s="41">
        <v>1</v>
      </c>
      <c r="B9" s="42" t="s">
        <v>68</v>
      </c>
      <c r="C9" s="193">
        <f>'Bieu 10'!C9+'Bieu 9'!C9</f>
        <v>211073008.7</v>
      </c>
      <c r="D9" s="193">
        <f>'Bieu 10'!D9+'Bieu 9'!D9</f>
        <v>20917465</v>
      </c>
      <c r="E9" s="193">
        <f>'Bieu 10'!E9+'Bieu 9'!E9</f>
        <v>0</v>
      </c>
      <c r="F9" s="193">
        <v>4844452</v>
      </c>
      <c r="G9" s="193">
        <f>'Bieu 10'!G9+'Bieu 9'!G9+201806+606528</f>
        <v>184336638.7</v>
      </c>
      <c r="H9" s="193">
        <v>974453</v>
      </c>
      <c r="I9" s="193">
        <f>'Bieu 10'!I9+'Bieu 9'!I9</f>
        <v>194548513</v>
      </c>
      <c r="J9" s="193">
        <f>'Bieu 10'!J9+'Bieu 9'!J9</f>
        <v>11931621</v>
      </c>
      <c r="K9" s="193">
        <f>'Bieu 10'!K9+'Bieu 9'!K9</f>
        <v>0</v>
      </c>
      <c r="L9" s="193">
        <f>'Bieu 10'!L9+'Bieu 9'!L9</f>
        <v>0</v>
      </c>
      <c r="M9" s="193">
        <f>'Bieu 10'!M9+'Bieu 9'!M9</f>
        <v>182616892</v>
      </c>
      <c r="N9" s="193">
        <v>419499</v>
      </c>
      <c r="O9" s="193">
        <f>'Bieu 10'!O9+'Bieu 9'!O9</f>
        <v>14290309</v>
      </c>
      <c r="P9" s="193">
        <v>34761</v>
      </c>
      <c r="Q9" s="193">
        <v>34</v>
      </c>
      <c r="R9" s="193">
        <f>'Bieu 10'!R9+'Bieu 9'!R9</f>
        <v>1429031</v>
      </c>
      <c r="S9" s="193">
        <f>'Bieu 10'!S9+'Bieu 9'!S9</f>
        <v>0</v>
      </c>
      <c r="T9" s="193">
        <f>'Bieu 10'!T9+'Bieu 9'!T9</f>
        <v>0</v>
      </c>
      <c r="U9" s="193">
        <f>'Bieu 10'!U9+'Bieu 9'!U9</f>
        <v>12861278</v>
      </c>
      <c r="V9" s="193">
        <v>34761</v>
      </c>
      <c r="W9" s="193">
        <f>'Bieu 10'!W9+'Bieu 9'!W9</f>
        <v>0</v>
      </c>
      <c r="X9" s="193">
        <f>'Bieu 10'!X9+'Bieu 9'!X9</f>
        <v>160636585</v>
      </c>
      <c r="Y9" s="193">
        <v>371149</v>
      </c>
      <c r="Z9" s="193">
        <v>37506</v>
      </c>
      <c r="AA9" s="193">
        <f>'Bieu 10'!AA9+'Bieu 9'!AA9</f>
        <v>7689998</v>
      </c>
      <c r="AB9" s="193">
        <v>17517</v>
      </c>
      <c r="AC9" s="193">
        <v>1</v>
      </c>
      <c r="AD9" s="193">
        <f>'Bieu 10'!AD9+'Bieu 9'!AD9</f>
        <v>769000</v>
      </c>
      <c r="AE9" s="193">
        <f>'Bieu 10'!AE9+'Bieu 9'!AE9</f>
        <v>0</v>
      </c>
      <c r="AF9" s="193">
        <f>'Bieu 10'!AF9+'Bieu 9'!AF9</f>
        <v>0</v>
      </c>
      <c r="AG9" s="193">
        <f>'Bieu 10'!AG9+'Bieu 9'!AG9</f>
        <v>6920998</v>
      </c>
      <c r="AH9" s="193">
        <v>17517</v>
      </c>
      <c r="AI9" s="193">
        <f>'Bieu 10'!AI9+'Bieu 9'!AI9</f>
        <v>0</v>
      </c>
      <c r="AJ9" s="193">
        <f>AO9+AN9+AM9+AL9+AK9</f>
        <v>16524495.699999988</v>
      </c>
      <c r="AK9" s="193">
        <f aca="true" t="shared" si="1" ref="AK9:AN12">D9-J9</f>
        <v>8985844</v>
      </c>
      <c r="AL9" s="193">
        <f t="shared" si="1"/>
        <v>0</v>
      </c>
      <c r="AM9" s="193">
        <f t="shared" si="1"/>
        <v>4844452</v>
      </c>
      <c r="AN9" s="193">
        <f t="shared" si="1"/>
        <v>1719746.699999988</v>
      </c>
      <c r="AO9" s="193">
        <f>H9</f>
        <v>974453</v>
      </c>
      <c r="AP9" s="194">
        <f>M9/G9</f>
        <v>0.9906706191881973</v>
      </c>
      <c r="AQ9" s="195">
        <f>I9/C9</f>
        <v>0.9217119431718226</v>
      </c>
      <c r="AR9" s="196">
        <f>C9-D9-E9-F9-G9-H9</f>
        <v>0</v>
      </c>
      <c r="AS9" s="197">
        <f>M9-O9-X9-AA9</f>
        <v>0</v>
      </c>
      <c r="AT9" s="197">
        <f>O9-R9-S9-U9</f>
        <v>0</v>
      </c>
      <c r="AU9" s="197">
        <f>C9-I9-AJ9</f>
        <v>0</v>
      </c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</row>
    <row r="10" spans="1:108" s="203" customFormat="1" ht="17.25" customHeight="1">
      <c r="A10" s="43">
        <f>A9+1</f>
        <v>2</v>
      </c>
      <c r="B10" s="44" t="s">
        <v>106</v>
      </c>
      <c r="C10" s="200">
        <f>'Bieu 10'!C10+'Bieu 9'!C10</f>
        <v>374618000</v>
      </c>
      <c r="D10" s="200">
        <f>'Bieu 10'!D10+'Bieu 9'!D10</f>
        <v>8211000</v>
      </c>
      <c r="E10" s="200">
        <f>'Bieu 10'!E10+'Bieu 9'!E10</f>
        <v>11523000</v>
      </c>
      <c r="F10" s="200">
        <f>'Bieu 9'!F10+'Bieu 10'!F10</f>
        <v>15758000</v>
      </c>
      <c r="G10" s="200">
        <f>'Bieu 10'!G10+'Bieu 9'!G10</f>
        <v>307394000</v>
      </c>
      <c r="H10" s="200">
        <f>'Bieu 10'!H10+'Bieu 9'!H10</f>
        <v>31732000</v>
      </c>
      <c r="I10" s="200">
        <f>'Bieu 10'!I10+'Bieu 9'!I10</f>
        <v>282180602</v>
      </c>
      <c r="J10" s="200">
        <f>'Bieu 10'!J10+'Bieu 9'!J10</f>
        <v>4761000</v>
      </c>
      <c r="K10" s="200">
        <f>'Bieu 10'!K10+'Bieu 9'!K10</f>
        <v>78000</v>
      </c>
      <c r="L10" s="200">
        <f>'Bieu 10'!L10+'Bieu 9'!L10</f>
        <v>0</v>
      </c>
      <c r="M10" s="200">
        <f>'Bieu 10'!M10+'Bieu 9'!M10</f>
        <v>277341602</v>
      </c>
      <c r="N10" s="200">
        <v>424698</v>
      </c>
      <c r="O10" s="200">
        <f>'Bieu 10'!O10+'Bieu 9'!O10</f>
        <v>2596000</v>
      </c>
      <c r="P10" s="200">
        <v>4631</v>
      </c>
      <c r="Q10" s="200">
        <v>34</v>
      </c>
      <c r="R10" s="200">
        <f>'Bieu 10'!R10+'Bieu 9'!R10</f>
        <v>0</v>
      </c>
      <c r="S10" s="200">
        <f>'Bieu 10'!S10+'Bieu 9'!S10</f>
        <v>2596000</v>
      </c>
      <c r="T10" s="200">
        <v>4631</v>
      </c>
      <c r="U10" s="200">
        <f>'Bieu 10'!U10+'Bieu 9'!U10</f>
        <v>0</v>
      </c>
      <c r="V10" s="200"/>
      <c r="W10" s="200">
        <f>'Bieu 10'!W10+'Bieu 9'!W10</f>
        <v>0</v>
      </c>
      <c r="X10" s="200">
        <f>'Bieu 10'!X10+'Bieu 9'!X10</f>
        <v>228602</v>
      </c>
      <c r="Y10" s="200">
        <v>367</v>
      </c>
      <c r="Z10" s="200">
        <v>189</v>
      </c>
      <c r="AA10" s="200">
        <f>'Bieu 10'!AA10+'Bieu 9'!AA10</f>
        <v>274517000</v>
      </c>
      <c r="AB10" s="200">
        <v>423848</v>
      </c>
      <c r="AC10" s="200">
        <v>10</v>
      </c>
      <c r="AD10" s="200">
        <f>'Bieu 10'!AD10+'Bieu 9'!AD10</f>
        <v>20610000</v>
      </c>
      <c r="AE10" s="200">
        <f>'Bieu 10'!AE10+'Bieu 9'!AE10</f>
        <v>0</v>
      </c>
      <c r="AF10" s="200">
        <f>'Bieu 10'!AF10+'Bieu 9'!AF10</f>
        <v>0</v>
      </c>
      <c r="AG10" s="200">
        <f>'Bieu 10'!AG10+'Bieu 9'!AG10</f>
        <v>253907000</v>
      </c>
      <c r="AH10" s="200">
        <v>423848</v>
      </c>
      <c r="AI10" s="200">
        <v>57277</v>
      </c>
      <c r="AJ10" s="200">
        <f>AO10+AN10+AM10+AL10+AK10</f>
        <v>92437398</v>
      </c>
      <c r="AK10" s="200">
        <f t="shared" si="1"/>
        <v>3450000</v>
      </c>
      <c r="AL10" s="200">
        <f t="shared" si="1"/>
        <v>11445000</v>
      </c>
      <c r="AM10" s="200">
        <f t="shared" si="1"/>
        <v>15758000</v>
      </c>
      <c r="AN10" s="200">
        <f t="shared" si="1"/>
        <v>30052398</v>
      </c>
      <c r="AO10" s="200">
        <f>H10</f>
        <v>31732000</v>
      </c>
      <c r="AP10" s="201">
        <f>M10/G10</f>
        <v>0.9022349232580987</v>
      </c>
      <c r="AQ10" s="202">
        <f>I10/C10</f>
        <v>0.7532489148946393</v>
      </c>
      <c r="AR10" s="196">
        <f aca="true" t="shared" si="2" ref="AR10:AR44">C10-D10-E10-F10-G10-H10</f>
        <v>0</v>
      </c>
      <c r="AS10" s="197">
        <f aca="true" t="shared" si="3" ref="AS10:AS44">M10-O10-X10-AA10</f>
        <v>0</v>
      </c>
      <c r="AT10" s="197">
        <f aca="true" t="shared" si="4" ref="AT10:AT44">O10-R10-S10-U10</f>
        <v>0</v>
      </c>
      <c r="AU10" s="197">
        <f aca="true" t="shared" si="5" ref="AU10:AU44">C10-I10-AJ10</f>
        <v>0</v>
      </c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</row>
    <row r="11" spans="1:108" s="44" customFormat="1" ht="17.25" customHeight="1">
      <c r="A11" s="43">
        <f>A10+1</f>
        <v>3</v>
      </c>
      <c r="B11" s="44" t="s">
        <v>67</v>
      </c>
      <c r="C11" s="200">
        <f>'Bieu 10'!C11+'Bieu 9'!C11</f>
        <v>103354452</v>
      </c>
      <c r="D11" s="200">
        <f>'Bieu 10'!D11+'Bieu 9'!D11</f>
        <v>10335445.2</v>
      </c>
      <c r="E11" s="200">
        <f>'Bieu 10'!E11+'Bieu 9'!E11</f>
        <v>0</v>
      </c>
      <c r="F11" s="200">
        <f>'Bieu 9'!F11+'Bieu 10'!F11</f>
        <v>5000000</v>
      </c>
      <c r="G11" s="200">
        <f>'Bieu 10'!G11+'Bieu 9'!G11</f>
        <v>88019006.8</v>
      </c>
      <c r="H11" s="200">
        <f>'Bieu 10'!H11+'Bieu 9'!H11</f>
        <v>0</v>
      </c>
      <c r="I11" s="200">
        <f>'Bieu 10'!I11+'Bieu 9'!I11</f>
        <v>73077291</v>
      </c>
      <c r="J11" s="200">
        <f>'Bieu 10'!J11+'Bieu 9'!J11</f>
        <v>3864082</v>
      </c>
      <c r="K11" s="200">
        <f>'Bieu 10'!K11+'Bieu 9'!K11</f>
        <v>0</v>
      </c>
      <c r="L11" s="200">
        <f>'Bieu 10'!L11+'Bieu 9'!L11</f>
        <v>0</v>
      </c>
      <c r="M11" s="200">
        <f>'Bieu 10'!M11+'Bieu 9'!M11</f>
        <v>69213209</v>
      </c>
      <c r="N11" s="204">
        <v>167012</v>
      </c>
      <c r="O11" s="200">
        <f>'Bieu 10'!O11+'Bieu 9'!O11</f>
        <v>10923884</v>
      </c>
      <c r="P11" s="204">
        <v>31211</v>
      </c>
      <c r="Q11" s="204">
        <v>1</v>
      </c>
      <c r="R11" s="200">
        <f>'Bieu 10'!R11+'Bieu 9'!R11</f>
        <v>1092389</v>
      </c>
      <c r="S11" s="200">
        <f>'Bieu 10'!S11+'Bieu 9'!S11</f>
        <v>3932598</v>
      </c>
      <c r="T11" s="204">
        <v>12484</v>
      </c>
      <c r="U11" s="200">
        <f>'Bieu 10'!U11+'Bieu 9'!U11</f>
        <v>5898897</v>
      </c>
      <c r="V11" s="204">
        <v>18726</v>
      </c>
      <c r="W11" s="204">
        <v>1425</v>
      </c>
      <c r="X11" s="200">
        <f>'Bieu 10'!X11+'Bieu 9'!X11</f>
        <v>58289325</v>
      </c>
      <c r="Y11" s="204">
        <v>135801</v>
      </c>
      <c r="Z11" s="204">
        <v>736</v>
      </c>
      <c r="AA11" s="200">
        <f>'Bieu 10'!AA11+'Bieu 9'!AA11</f>
        <v>0</v>
      </c>
      <c r="AB11" s="204"/>
      <c r="AC11" s="204"/>
      <c r="AD11" s="200">
        <f>'Bieu 10'!AD11+'Bieu 9'!AD11</f>
        <v>0</v>
      </c>
      <c r="AE11" s="204"/>
      <c r="AF11" s="204"/>
      <c r="AG11" s="200">
        <f>'Bieu 10'!AG11+'Bieu 9'!AG11</f>
        <v>0</v>
      </c>
      <c r="AH11" s="204"/>
      <c r="AI11" s="204"/>
      <c r="AJ11" s="200">
        <f>AO11+AN11+AM11+AL11+AK11</f>
        <v>30277160.999999996</v>
      </c>
      <c r="AK11" s="200">
        <f t="shared" si="1"/>
        <v>6471363.199999999</v>
      </c>
      <c r="AL11" s="200">
        <f t="shared" si="1"/>
        <v>0</v>
      </c>
      <c r="AM11" s="200">
        <f t="shared" si="1"/>
        <v>5000000</v>
      </c>
      <c r="AN11" s="200">
        <f t="shared" si="1"/>
        <v>18805797.799999997</v>
      </c>
      <c r="AO11" s="200">
        <f>H11</f>
        <v>0</v>
      </c>
      <c r="AP11" s="205">
        <f>M11/G11</f>
        <v>0.7863438990770344</v>
      </c>
      <c r="AQ11" s="206">
        <f>I11/C11</f>
        <v>0.707055086509481</v>
      </c>
      <c r="AR11" s="196">
        <f>C11-D11-E11-F11-G11-H11</f>
        <v>0</v>
      </c>
      <c r="AS11" s="197">
        <f>M11-O11-X11-AA11</f>
        <v>0</v>
      </c>
      <c r="AT11" s="197">
        <f>O11-R11-S11-U11</f>
        <v>0</v>
      </c>
      <c r="AU11" s="197">
        <f t="shared" si="5"/>
        <v>0</v>
      </c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</row>
    <row r="12" spans="1:108" s="212" customFormat="1" ht="17.25" customHeight="1">
      <c r="A12" s="208">
        <f>A11+1</f>
        <v>4</v>
      </c>
      <c r="B12" s="209" t="s">
        <v>70</v>
      </c>
      <c r="C12" s="210">
        <f>'Bieu 10'!C12+'Bieu 9'!C12</f>
        <v>23996545</v>
      </c>
      <c r="D12" s="210">
        <f>'Bieu 10'!D12+'Bieu 9'!D12</f>
        <v>2136938</v>
      </c>
      <c r="E12" s="210">
        <f>'Bieu 10'!E12+'Bieu 9'!E12</f>
        <v>0</v>
      </c>
      <c r="F12" s="210">
        <f>'Bieu 9'!F12+'Bieu 10'!F12</f>
        <v>1068470</v>
      </c>
      <c r="G12" s="210">
        <f>'Bieu 10'!G12+'Bieu 9'!G12</f>
        <v>18163978</v>
      </c>
      <c r="H12" s="210">
        <f>'Bieu 10'!H12+'Bieu 9'!H12</f>
        <v>2627159</v>
      </c>
      <c r="I12" s="210">
        <f>'Bieu 10'!I12+'Bieu 9'!I12</f>
        <v>20015519</v>
      </c>
      <c r="J12" s="210">
        <f>'Bieu 10'!J12+'Bieu 9'!J12</f>
        <v>1900936</v>
      </c>
      <c r="K12" s="210">
        <f>'Bieu 10'!K12+'Bieu 9'!K12</f>
        <v>0</v>
      </c>
      <c r="L12" s="210">
        <f>'Bieu 10'!L12+'Bieu 9'!L12</f>
        <v>0</v>
      </c>
      <c r="M12" s="210">
        <f>'Bieu 10'!M12+'Bieu 9'!M12</f>
        <v>18114583</v>
      </c>
      <c r="N12" s="210">
        <v>73802</v>
      </c>
      <c r="O12" s="210">
        <f>'Bieu 10'!O12+'Bieu 9'!O12</f>
        <v>2600433</v>
      </c>
      <c r="P12" s="210">
        <v>10259</v>
      </c>
      <c r="Q12" s="210">
        <v>8</v>
      </c>
      <c r="R12" s="210">
        <f>'Bieu 10'!R12+'Bieu 9'!R12</f>
        <v>132144</v>
      </c>
      <c r="S12" s="210">
        <f>'Bieu 10'!S12+'Bieu 9'!S12</f>
        <v>1278992</v>
      </c>
      <c r="T12" s="210">
        <v>5148</v>
      </c>
      <c r="U12" s="210">
        <f>'Bieu 10'!U12+'Bieu 9'!U12</f>
        <v>1189297</v>
      </c>
      <c r="V12" s="210">
        <v>5111</v>
      </c>
      <c r="W12" s="210">
        <v>163</v>
      </c>
      <c r="X12" s="210">
        <f>'Bieu 10'!X12+'Bieu 9'!X12</f>
        <v>15514150</v>
      </c>
      <c r="Y12" s="210">
        <v>63544</v>
      </c>
      <c r="Z12" s="210">
        <v>17585</v>
      </c>
      <c r="AA12" s="210">
        <f>'Bieu 10'!AA12+'Bieu 9'!AA12</f>
        <v>0</v>
      </c>
      <c r="AB12" s="210"/>
      <c r="AC12" s="210"/>
      <c r="AD12" s="210">
        <f>'Bieu 10'!AD12+'Bieu 9'!AD12</f>
        <v>0</v>
      </c>
      <c r="AE12" s="210"/>
      <c r="AF12" s="210"/>
      <c r="AG12" s="210">
        <f>'Bieu 10'!AG12+'Bieu 9'!AG12</f>
        <v>0</v>
      </c>
      <c r="AH12" s="210"/>
      <c r="AI12" s="210"/>
      <c r="AJ12" s="210">
        <f>AO12+AN12+AM12+AL12+AK12</f>
        <v>3981026</v>
      </c>
      <c r="AK12" s="210">
        <f t="shared" si="1"/>
        <v>236002</v>
      </c>
      <c r="AL12" s="210">
        <f t="shared" si="1"/>
        <v>0</v>
      </c>
      <c r="AM12" s="210">
        <f t="shared" si="1"/>
        <v>1068470</v>
      </c>
      <c r="AN12" s="210">
        <f t="shared" si="1"/>
        <v>49395</v>
      </c>
      <c r="AO12" s="210">
        <f>H12</f>
        <v>2627159</v>
      </c>
      <c r="AP12" s="211">
        <f>M12/G12</f>
        <v>0.9972806067041041</v>
      </c>
      <c r="AQ12" s="206">
        <f>I12/C12</f>
        <v>0.834100033984059</v>
      </c>
      <c r="AR12" s="196">
        <f>C12-D12-E12-F12-G12-H12</f>
        <v>0</v>
      </c>
      <c r="AS12" s="197">
        <f>M12-O12-X12-AA12</f>
        <v>0</v>
      </c>
      <c r="AT12" s="197">
        <f>O12-R12-S12-U12</f>
        <v>0</v>
      </c>
      <c r="AU12" s="197">
        <f t="shared" si="5"/>
        <v>0</v>
      </c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</row>
    <row r="13" spans="1:47" s="219" customFormat="1" ht="17.25" customHeight="1">
      <c r="A13" s="213" t="s">
        <v>107</v>
      </c>
      <c r="B13" s="214" t="s">
        <v>62</v>
      </c>
      <c r="C13" s="215">
        <f>SUM(C14:C20)</f>
        <v>157302563</v>
      </c>
      <c r="D13" s="215">
        <f aca="true" t="shared" si="6" ref="D13:AO13">SUM(D14:D20)</f>
        <v>16371189.000000002</v>
      </c>
      <c r="E13" s="215">
        <f t="shared" si="6"/>
        <v>1057019</v>
      </c>
      <c r="F13" s="215">
        <f t="shared" si="6"/>
        <v>7680053.100000001</v>
      </c>
      <c r="G13" s="215">
        <f t="shared" si="6"/>
        <v>128398163.9</v>
      </c>
      <c r="H13" s="215">
        <f t="shared" si="6"/>
        <v>3796138</v>
      </c>
      <c r="I13" s="215">
        <f t="shared" si="6"/>
        <v>101183827</v>
      </c>
      <c r="J13" s="215">
        <f t="shared" si="6"/>
        <v>9804760</v>
      </c>
      <c r="K13" s="215">
        <f t="shared" si="6"/>
        <v>94000</v>
      </c>
      <c r="L13" s="215">
        <f t="shared" si="6"/>
        <v>0</v>
      </c>
      <c r="M13" s="215">
        <f t="shared" si="6"/>
        <v>91285067</v>
      </c>
      <c r="N13" s="215">
        <f t="shared" si="6"/>
        <v>579734</v>
      </c>
      <c r="O13" s="215">
        <f t="shared" si="6"/>
        <v>53986507</v>
      </c>
      <c r="P13" s="215">
        <f t="shared" si="6"/>
        <v>191932</v>
      </c>
      <c r="Q13" s="215">
        <f t="shared" si="6"/>
        <v>29</v>
      </c>
      <c r="R13" s="215">
        <f t="shared" si="6"/>
        <v>4536774</v>
      </c>
      <c r="S13" s="215">
        <f t="shared" si="6"/>
        <v>0</v>
      </c>
      <c r="T13" s="215">
        <f t="shared" si="6"/>
        <v>0</v>
      </c>
      <c r="U13" s="215">
        <f t="shared" si="6"/>
        <v>40830975</v>
      </c>
      <c r="V13" s="215">
        <f t="shared" si="6"/>
        <v>133897</v>
      </c>
      <c r="W13" s="215">
        <f t="shared" si="6"/>
        <v>16828</v>
      </c>
      <c r="X13" s="215">
        <f t="shared" si="6"/>
        <v>10488529</v>
      </c>
      <c r="Y13" s="215">
        <f t="shared" si="6"/>
        <v>115703</v>
      </c>
      <c r="Z13" s="215">
        <f t="shared" si="6"/>
        <v>50392</v>
      </c>
      <c r="AA13" s="215">
        <f t="shared" si="6"/>
        <v>26810031</v>
      </c>
      <c r="AB13" s="215">
        <f t="shared" si="6"/>
        <v>233256</v>
      </c>
      <c r="AC13" s="215">
        <f t="shared" si="6"/>
        <v>62</v>
      </c>
      <c r="AD13" s="215">
        <f t="shared" si="6"/>
        <v>2589817</v>
      </c>
      <c r="AE13" s="215">
        <f t="shared" si="6"/>
        <v>0</v>
      </c>
      <c r="AF13" s="215">
        <f t="shared" si="6"/>
        <v>0</v>
      </c>
      <c r="AG13" s="215">
        <f t="shared" si="6"/>
        <v>23439049</v>
      </c>
      <c r="AH13" s="215">
        <f t="shared" si="6"/>
        <v>211501</v>
      </c>
      <c r="AI13" s="215">
        <f t="shared" si="6"/>
        <v>78043</v>
      </c>
      <c r="AJ13" s="215">
        <f t="shared" si="6"/>
        <v>56118736</v>
      </c>
      <c r="AK13" s="215">
        <f t="shared" si="6"/>
        <v>6566429.000000001</v>
      </c>
      <c r="AL13" s="215">
        <f t="shared" si="6"/>
        <v>963019</v>
      </c>
      <c r="AM13" s="215">
        <f t="shared" si="6"/>
        <v>7680053.100000001</v>
      </c>
      <c r="AN13" s="215">
        <f t="shared" si="6"/>
        <v>37113096.89999999</v>
      </c>
      <c r="AO13" s="215">
        <f t="shared" si="6"/>
        <v>3796138</v>
      </c>
      <c r="AP13" s="216">
        <f aca="true" t="shared" si="7" ref="AP13:AP43">M13/G13</f>
        <v>0.7109530559260591</v>
      </c>
      <c r="AQ13" s="216">
        <f aca="true" t="shared" si="8" ref="AQ13:AQ44">I13/C13</f>
        <v>0.6432433462638495</v>
      </c>
      <c r="AR13" s="217">
        <f t="shared" si="2"/>
        <v>0</v>
      </c>
      <c r="AS13" s="218">
        <f>M13-O13-X13-AA13</f>
        <v>0</v>
      </c>
      <c r="AT13" s="218">
        <f>O13-R13-S13-U13</f>
        <v>8618758</v>
      </c>
      <c r="AU13" s="218">
        <f t="shared" si="5"/>
        <v>0</v>
      </c>
    </row>
    <row r="14" spans="1:108" s="224" customFormat="1" ht="17.25" customHeight="1">
      <c r="A14" s="220">
        <v>5</v>
      </c>
      <c r="B14" s="221" t="s">
        <v>71</v>
      </c>
      <c r="C14" s="222">
        <f>'Bieu 10'!C14+'Bieu 9'!C14</f>
        <v>58876643</v>
      </c>
      <c r="D14" s="222">
        <f>'Bieu 10'!D14+'Bieu 9'!D14</f>
        <v>5887664.300000001</v>
      </c>
      <c r="E14" s="222">
        <f>'Bieu 10'!E14+'Bieu 9'!E14</f>
        <v>0</v>
      </c>
      <c r="F14" s="222">
        <f>'Bieu 9'!F14+'Bieu 10'!F14</f>
        <v>2943832.1500000004</v>
      </c>
      <c r="G14" s="222">
        <f>'Bieu 10'!G14+'Bieu 9'!G14</f>
        <v>50045146.55</v>
      </c>
      <c r="H14" s="222">
        <f>'Bieu 10'!H14+'Bieu 9'!H14</f>
        <v>0</v>
      </c>
      <c r="I14" s="222">
        <f>'Bieu 10'!I14+'Bieu 9'!I14</f>
        <v>51422532</v>
      </c>
      <c r="J14" s="222">
        <f>'Bieu 10'!J14+'Bieu 9'!J14</f>
        <v>3214747</v>
      </c>
      <c r="K14" s="222">
        <f>'Bieu 10'!K14+'Bieu 9'!K14</f>
        <v>0</v>
      </c>
      <c r="L14" s="222">
        <f>'Bieu 10'!L14+'Bieu 9'!L14</f>
        <v>0</v>
      </c>
      <c r="M14" s="222">
        <f>'Bieu 10'!M14+'Bieu 9'!M14</f>
        <v>48207785</v>
      </c>
      <c r="N14" s="222">
        <v>188057</v>
      </c>
      <c r="O14" s="222">
        <f>'Bieu 10'!O14+'Bieu 9'!O14</f>
        <v>41678800</v>
      </c>
      <c r="P14" s="222">
        <v>103277</v>
      </c>
      <c r="Q14" s="222">
        <v>10</v>
      </c>
      <c r="R14" s="222">
        <f>'Bieu 10'!R14+'Bieu 9'!R14</f>
        <v>4167880</v>
      </c>
      <c r="S14" s="222">
        <f>'Bieu 10'!S14+'Bieu 9'!S14</f>
        <v>0</v>
      </c>
      <c r="T14" s="222"/>
      <c r="U14" s="222">
        <f>'Bieu 10'!U14+'Bieu 9'!U14</f>
        <v>37510920</v>
      </c>
      <c r="V14" s="222">
        <v>103277</v>
      </c>
      <c r="W14" s="222">
        <v>15103</v>
      </c>
      <c r="X14" s="222">
        <f>'Bieu 10'!X14+'Bieu 9'!X14</f>
        <v>2371176</v>
      </c>
      <c r="Y14" s="222">
        <v>33219</v>
      </c>
      <c r="Z14" s="222">
        <v>34971</v>
      </c>
      <c r="AA14" s="222">
        <f>'Bieu 10'!AA14+'Bieu 9'!AA14</f>
        <v>4157809</v>
      </c>
      <c r="AB14" s="222">
        <v>51560</v>
      </c>
      <c r="AC14" s="222">
        <v>5</v>
      </c>
      <c r="AD14" s="222">
        <f>'Bieu 10'!AD14+'Bieu 9'!AD14</f>
        <v>415781</v>
      </c>
      <c r="AE14" s="222"/>
      <c r="AF14" s="222"/>
      <c r="AG14" s="222">
        <f>'Bieu 10'!AG14+'Bieu 9'!AG14</f>
        <v>3742028</v>
      </c>
      <c r="AH14" s="222">
        <v>51560</v>
      </c>
      <c r="AI14" s="222">
        <v>2666</v>
      </c>
      <c r="AJ14" s="222">
        <f>AO14+AN14+AM14+AL14+AK14</f>
        <v>7454110.999999998</v>
      </c>
      <c r="AK14" s="222">
        <f aca="true" t="shared" si="9" ref="AK14:AK43">D14-J14</f>
        <v>2672917.3000000007</v>
      </c>
      <c r="AL14" s="222">
        <f aca="true" t="shared" si="10" ref="AL14:AL43">E14-K14</f>
        <v>0</v>
      </c>
      <c r="AM14" s="222">
        <f aca="true" t="shared" si="11" ref="AM14:AM43">F14-L14</f>
        <v>2943832.1500000004</v>
      </c>
      <c r="AN14" s="222">
        <f aca="true" t="shared" si="12" ref="AN14:AN43">G14-M14</f>
        <v>1837361.549999997</v>
      </c>
      <c r="AO14" s="222">
        <f aca="true" t="shared" si="13" ref="AO14:AO43">H14</f>
        <v>0</v>
      </c>
      <c r="AP14" s="223">
        <f t="shared" si="7"/>
        <v>0.9632859192816172</v>
      </c>
      <c r="AQ14" s="202">
        <f t="shared" si="8"/>
        <v>0.8733944290947431</v>
      </c>
      <c r="AR14" s="196">
        <f t="shared" si="2"/>
        <v>7.450580596923828E-09</v>
      </c>
      <c r="AS14" s="197">
        <f>M14-O14-X14-AA14</f>
        <v>0</v>
      </c>
      <c r="AT14" s="197">
        <f>O14-R14-S14-U14</f>
        <v>0</v>
      </c>
      <c r="AU14" s="197">
        <f>C14-I14-AJ14</f>
        <v>0</v>
      </c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</row>
    <row r="15" spans="1:108" s="203" customFormat="1" ht="17.25" customHeight="1">
      <c r="A15" s="43">
        <f aca="true" t="shared" si="14" ref="A15:A20">A14+1</f>
        <v>6</v>
      </c>
      <c r="B15" s="44" t="s">
        <v>72</v>
      </c>
      <c r="C15" s="200">
        <f>'Bieu 10'!C15+'Bieu 9'!C15</f>
        <v>29476022</v>
      </c>
      <c r="D15" s="200">
        <f>'Bieu 10'!D15+'Bieu 9'!D15</f>
        <v>3590937</v>
      </c>
      <c r="E15" s="200">
        <f>'Bieu 10'!E15+'Bieu 9'!E15</f>
        <v>1057019</v>
      </c>
      <c r="F15" s="200">
        <f>'Bieu 9'!F15+'Bieu 10'!F15</f>
        <v>1439514</v>
      </c>
      <c r="G15" s="200">
        <f>'Bieu 10'!G15+'Bieu 9'!G15</f>
        <v>19669629</v>
      </c>
      <c r="H15" s="200">
        <f>'Bieu 10'!H15+'Bieu 9'!H15</f>
        <v>3718923</v>
      </c>
      <c r="I15" s="200">
        <f>'Bieu 10'!I15+'Bieu 9'!I15</f>
        <v>10793498</v>
      </c>
      <c r="J15" s="200">
        <f>'Bieu 10'!J15+'Bieu 9'!J15</f>
        <v>3394022</v>
      </c>
      <c r="K15" s="200">
        <f>'Bieu 10'!K15+'Bieu 9'!K15</f>
        <v>94000</v>
      </c>
      <c r="L15" s="200">
        <f>'Bieu 10'!L15+'Bieu 9'!L15</f>
        <v>0</v>
      </c>
      <c r="M15" s="200">
        <f>'Bieu 10'!M15+'Bieu 9'!M15</f>
        <v>7305476</v>
      </c>
      <c r="N15" s="200">
        <v>97142</v>
      </c>
      <c r="O15" s="200">
        <f>'Bieu 10'!O15+'Bieu 9'!O15</f>
        <v>5831889</v>
      </c>
      <c r="P15" s="200">
        <v>58035</v>
      </c>
      <c r="Q15" s="200">
        <v>11</v>
      </c>
      <c r="R15" s="200">
        <f>'Bieu 10'!R15+'Bieu 9'!R15</f>
        <v>0</v>
      </c>
      <c r="S15" s="200">
        <f>'Bieu 10'!S15+'Bieu 9'!S15</f>
        <v>0</v>
      </c>
      <c r="T15" s="200"/>
      <c r="U15" s="200">
        <v>0</v>
      </c>
      <c r="V15" s="200"/>
      <c r="W15" s="200"/>
      <c r="X15" s="200">
        <f>'Bieu 10'!X15+'Bieu 9'!X15</f>
        <v>692422</v>
      </c>
      <c r="Y15" s="200">
        <v>17353</v>
      </c>
      <c r="Z15" s="200">
        <v>10103</v>
      </c>
      <c r="AA15" s="200">
        <f>'Bieu 10'!AA15+'Bieu 9'!AA15</f>
        <v>781165</v>
      </c>
      <c r="AB15" s="200">
        <v>21755</v>
      </c>
      <c r="AC15" s="200">
        <v>46</v>
      </c>
      <c r="AD15" s="200">
        <f>'Bieu 10'!AD15+'Bieu 9'!AD15</f>
        <v>0</v>
      </c>
      <c r="AE15" s="200"/>
      <c r="AF15" s="200"/>
      <c r="AG15" s="200">
        <f>'Bieu 10'!AG15+'Bieu 9'!AG15</f>
        <v>0</v>
      </c>
      <c r="AH15" s="200"/>
      <c r="AI15" s="200"/>
      <c r="AJ15" s="200">
        <f aca="true" t="shared" si="15" ref="AJ15:AJ43">AO15+AN15+AM15+AL15+AK15</f>
        <v>18682524</v>
      </c>
      <c r="AK15" s="200">
        <f t="shared" si="9"/>
        <v>196915</v>
      </c>
      <c r="AL15" s="200">
        <f t="shared" si="10"/>
        <v>963019</v>
      </c>
      <c r="AM15" s="200">
        <f t="shared" si="11"/>
        <v>1439514</v>
      </c>
      <c r="AN15" s="200">
        <f t="shared" si="12"/>
        <v>12364153</v>
      </c>
      <c r="AO15" s="200">
        <f t="shared" si="13"/>
        <v>3718923</v>
      </c>
      <c r="AP15" s="201">
        <f t="shared" si="7"/>
        <v>0.3714089370978985</v>
      </c>
      <c r="AQ15" s="202">
        <f t="shared" si="8"/>
        <v>0.3661789233296135</v>
      </c>
      <c r="AR15" s="196">
        <f>C15-D15-E15-F15-G15-H15</f>
        <v>0</v>
      </c>
      <c r="AS15" s="197">
        <f t="shared" si="3"/>
        <v>0</v>
      </c>
      <c r="AT15" s="197">
        <f>O15-R15-S15-U15</f>
        <v>5831889</v>
      </c>
      <c r="AU15" s="197">
        <f t="shared" si="5"/>
        <v>0</v>
      </c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</row>
    <row r="16" spans="1:108" s="203" customFormat="1" ht="17.25" customHeight="1">
      <c r="A16" s="43">
        <f t="shared" si="14"/>
        <v>7</v>
      </c>
      <c r="B16" s="44" t="s">
        <v>108</v>
      </c>
      <c r="C16" s="200">
        <f>'Bieu 10'!C16+'Bieu 9'!C16</f>
        <v>9437419</v>
      </c>
      <c r="D16" s="200">
        <f>'Bieu 10'!D16+'Bieu 9'!D16</f>
        <v>943741.9</v>
      </c>
      <c r="E16" s="200">
        <f>'Bieu 10'!E16+'Bieu 9'!E16</f>
        <v>0</v>
      </c>
      <c r="F16" s="200">
        <f>'Bieu 9'!F16+'Bieu 10'!F16</f>
        <v>471870.95</v>
      </c>
      <c r="G16" s="200">
        <f>'Bieu 10'!G16+'Bieu 9'!G16</f>
        <v>8021806.149999999</v>
      </c>
      <c r="H16" s="200">
        <f>'Bieu 10'!H16+'Bieu 9'!H16</f>
        <v>0</v>
      </c>
      <c r="I16" s="200">
        <f>'Bieu 10'!I16+'Bieu 9'!I16</f>
        <v>3065663</v>
      </c>
      <c r="J16" s="200">
        <f>'Bieu 10'!J16+'Bieu 9'!J16</f>
        <v>278794</v>
      </c>
      <c r="K16" s="200">
        <f>'Bieu 10'!K16+'Bieu 9'!K16</f>
        <v>0</v>
      </c>
      <c r="L16" s="200">
        <f>'Bieu 10'!L16+'Bieu 9'!L16</f>
        <v>0</v>
      </c>
      <c r="M16" s="200">
        <f>'Bieu 10'!M16+'Bieu 9'!M16</f>
        <v>2786869</v>
      </c>
      <c r="N16" s="200">
        <v>38843</v>
      </c>
      <c r="O16" s="200">
        <f>'Bieu 10'!O16+'Bieu 9'!O16</f>
        <v>2786869</v>
      </c>
      <c r="P16" s="200"/>
      <c r="Q16" s="200">
        <v>2</v>
      </c>
      <c r="R16" s="200">
        <f>'Bieu 10'!R16+'Bieu 9'!R16</f>
        <v>0</v>
      </c>
      <c r="S16" s="200">
        <f>'Bieu 10'!S16+'Bieu 9'!S16</f>
        <v>0</v>
      </c>
      <c r="T16" s="200"/>
      <c r="U16" s="200">
        <f>'Bieu 10'!U16+'Bieu 9'!U16</f>
        <v>0</v>
      </c>
      <c r="V16" s="200"/>
      <c r="W16" s="200"/>
      <c r="X16" s="200">
        <f>'Bieu 10'!X16+'Bieu 9'!X16</f>
        <v>0</v>
      </c>
      <c r="Y16" s="200"/>
      <c r="Z16" s="200"/>
      <c r="AA16" s="200">
        <f>'Bieu 10'!AA16+'Bieu 9'!AA16</f>
        <v>0</v>
      </c>
      <c r="AB16" s="200"/>
      <c r="AC16" s="200"/>
      <c r="AD16" s="200">
        <f>'Bieu 10'!AD16+'Bieu 9'!AD16</f>
        <v>0</v>
      </c>
      <c r="AE16" s="200"/>
      <c r="AF16" s="200"/>
      <c r="AG16" s="200">
        <f>'Bieu 10'!AG16+'Bieu 9'!AG16</f>
        <v>0</v>
      </c>
      <c r="AH16" s="200"/>
      <c r="AI16" s="200"/>
      <c r="AJ16" s="200">
        <f t="shared" si="15"/>
        <v>6371756</v>
      </c>
      <c r="AK16" s="200">
        <f t="shared" si="9"/>
        <v>664947.9</v>
      </c>
      <c r="AL16" s="200">
        <f t="shared" si="10"/>
        <v>0</v>
      </c>
      <c r="AM16" s="200">
        <f t="shared" si="11"/>
        <v>471870.95</v>
      </c>
      <c r="AN16" s="200">
        <f t="shared" si="12"/>
        <v>5234937.149999999</v>
      </c>
      <c r="AO16" s="200">
        <f t="shared" si="13"/>
        <v>0</v>
      </c>
      <c r="AP16" s="201">
        <f t="shared" si="7"/>
        <v>0.34741166115065</v>
      </c>
      <c r="AQ16" s="202">
        <f t="shared" si="8"/>
        <v>0.3248412516176298</v>
      </c>
      <c r="AR16" s="196">
        <f t="shared" si="2"/>
        <v>0</v>
      </c>
      <c r="AS16" s="197">
        <f t="shared" si="3"/>
        <v>0</v>
      </c>
      <c r="AT16" s="197">
        <f t="shared" si="4"/>
        <v>2786869</v>
      </c>
      <c r="AU16" s="197">
        <f t="shared" si="5"/>
        <v>0</v>
      </c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</row>
    <row r="17" spans="1:108" s="203" customFormat="1" ht="17.25" customHeight="1">
      <c r="A17" s="43">
        <f t="shared" si="14"/>
        <v>8</v>
      </c>
      <c r="B17" s="44" t="s">
        <v>73</v>
      </c>
      <c r="C17" s="200">
        <f>'Bieu 10'!C17+'Bieu 9'!C17</f>
        <v>31576758</v>
      </c>
      <c r="D17" s="200">
        <f>'Bieu 10'!D17+'Bieu 9'!D17</f>
        <v>3157675.8000000003</v>
      </c>
      <c r="E17" s="200">
        <f>'Bieu 10'!E17+'Bieu 9'!E17</f>
        <v>0</v>
      </c>
      <c r="F17" s="200">
        <f>'Bieu 9'!F17+'Bieu 10'!F17</f>
        <v>1430000</v>
      </c>
      <c r="G17" s="200">
        <f>'Bieu 10'!G17+'Bieu 9'!G17</f>
        <v>26989082.2</v>
      </c>
      <c r="H17" s="200">
        <f>'Bieu 10'!H17+'Bieu 9'!H17</f>
        <v>0</v>
      </c>
      <c r="I17" s="200">
        <f>'Bieu 10'!I17+'Bieu 9'!I17</f>
        <v>28366238</v>
      </c>
      <c r="J17" s="200">
        <f>'Bieu 10'!J17+'Bieu 9'!J17</f>
        <v>2806232</v>
      </c>
      <c r="K17" s="200">
        <f>'Bieu 10'!K17+'Bieu 9'!K17</f>
        <v>0</v>
      </c>
      <c r="L17" s="200">
        <f>'Bieu 10'!L17+'Bieu 9'!L17</f>
        <v>0</v>
      </c>
      <c r="M17" s="200">
        <f>'Bieu 10'!M17+'Bieu 9'!M17</f>
        <v>25560006</v>
      </c>
      <c r="N17" s="200">
        <v>190561</v>
      </c>
      <c r="O17" s="200">
        <f>'Bieu 10'!O17+'Bieu 9'!O17</f>
        <v>3688949</v>
      </c>
      <c r="P17" s="200">
        <v>30620</v>
      </c>
      <c r="Q17" s="200">
        <v>6</v>
      </c>
      <c r="R17" s="200">
        <f>'Bieu 10'!R17+'Bieu 9'!R17</f>
        <v>368894</v>
      </c>
      <c r="S17" s="200">
        <f>'Bieu 10'!S17+'Bieu 9'!S17</f>
        <v>0</v>
      </c>
      <c r="T17" s="200"/>
      <c r="U17" s="200">
        <f>'Bieu 10'!U17+'Bieu 9'!U17</f>
        <v>3320055</v>
      </c>
      <c r="V17" s="200">
        <v>30620</v>
      </c>
      <c r="W17" s="200">
        <v>1725</v>
      </c>
      <c r="X17" s="200">
        <f>'Bieu 10'!X17+'Bieu 9'!X17</f>
        <v>0</v>
      </c>
      <c r="Y17" s="200"/>
      <c r="Z17" s="200"/>
      <c r="AA17" s="200">
        <f>'Bieu 10'!AA17+'Bieu 9'!AA17</f>
        <v>21871057</v>
      </c>
      <c r="AB17" s="200">
        <v>159941</v>
      </c>
      <c r="AC17" s="200">
        <v>11</v>
      </c>
      <c r="AD17" s="200">
        <f>'Bieu 10'!AD17+'Bieu 9'!AD17</f>
        <v>2174036</v>
      </c>
      <c r="AE17" s="200"/>
      <c r="AF17" s="200"/>
      <c r="AG17" s="200">
        <f>'Bieu 10'!AG17+'Bieu 9'!AG17</f>
        <v>19697021</v>
      </c>
      <c r="AH17" s="200">
        <v>159941</v>
      </c>
      <c r="AI17" s="200">
        <v>75377</v>
      </c>
      <c r="AJ17" s="200">
        <f t="shared" si="15"/>
        <v>3210519.9999999995</v>
      </c>
      <c r="AK17" s="200">
        <f t="shared" si="9"/>
        <v>351443.8000000003</v>
      </c>
      <c r="AL17" s="200">
        <f t="shared" si="10"/>
        <v>0</v>
      </c>
      <c r="AM17" s="200">
        <f t="shared" si="11"/>
        <v>1430000</v>
      </c>
      <c r="AN17" s="200">
        <f t="shared" si="12"/>
        <v>1429076.1999999993</v>
      </c>
      <c r="AO17" s="200">
        <f t="shared" si="13"/>
        <v>0</v>
      </c>
      <c r="AP17" s="201">
        <f t="shared" si="7"/>
        <v>0.9470498407685757</v>
      </c>
      <c r="AQ17" s="202">
        <f t="shared" si="8"/>
        <v>0.8983264843084905</v>
      </c>
      <c r="AR17" s="196">
        <f t="shared" si="2"/>
        <v>0</v>
      </c>
      <c r="AS17" s="197">
        <f t="shared" si="3"/>
        <v>0</v>
      </c>
      <c r="AT17" s="197">
        <f t="shared" si="4"/>
        <v>0</v>
      </c>
      <c r="AU17" s="197">
        <f t="shared" si="5"/>
        <v>0</v>
      </c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</row>
    <row r="18" spans="1:108" s="203" customFormat="1" ht="17.25" customHeight="1">
      <c r="A18" s="43">
        <f t="shared" si="14"/>
        <v>9</v>
      </c>
      <c r="B18" s="44" t="s">
        <v>75</v>
      </c>
      <c r="C18" s="200">
        <f>'Bieu 10'!C18+'Bieu 9'!C18</f>
        <v>14285721</v>
      </c>
      <c r="D18" s="200">
        <f>'Bieu 10'!D18+'Bieu 9'!D18</f>
        <v>1426170</v>
      </c>
      <c r="E18" s="200">
        <f>'Bieu 10'!E18+'Bieu 9'!E18</f>
        <v>0</v>
      </c>
      <c r="F18" s="200">
        <f>'Bieu 9'!F18+'Bieu 10'!F18</f>
        <v>712336</v>
      </c>
      <c r="G18" s="200">
        <f>'Bieu 10'!G18+'Bieu 9'!G18</f>
        <v>12070000</v>
      </c>
      <c r="H18" s="200">
        <f>'Bieu 10'!H18+'Bieu 9'!H18</f>
        <v>77215</v>
      </c>
      <c r="I18" s="200">
        <f>'Bieu 10'!I18+'Bieu 9'!I18</f>
        <v>7535896</v>
      </c>
      <c r="J18" s="200">
        <f>'Bieu 10'!J18+'Bieu 9'!J18</f>
        <v>110965</v>
      </c>
      <c r="K18" s="200">
        <f>'Bieu 10'!K18+'Bieu 9'!K18</f>
        <v>0</v>
      </c>
      <c r="L18" s="200">
        <f>'Bieu 10'!L18+'Bieu 9'!L18</f>
        <v>0</v>
      </c>
      <c r="M18" s="200">
        <f>'Bieu 10'!M18+'Bieu 9'!M18</f>
        <v>7424931</v>
      </c>
      <c r="N18" s="200">
        <v>65131</v>
      </c>
      <c r="O18" s="200">
        <f>'Bieu 10'!O18+'Bieu 9'!O18</f>
        <v>0</v>
      </c>
      <c r="P18" s="200"/>
      <c r="Q18" s="200"/>
      <c r="R18" s="200">
        <f>'Bieu 10'!R18+'Bieu 9'!R18</f>
        <v>0</v>
      </c>
      <c r="S18" s="200">
        <f>'Bieu 10'!S18+'Bieu 9'!S18</f>
        <v>0</v>
      </c>
      <c r="T18" s="200"/>
      <c r="U18" s="200">
        <v>0</v>
      </c>
      <c r="V18" s="200"/>
      <c r="W18" s="200"/>
      <c r="X18" s="200">
        <f>'Bieu 10'!X18+'Bieu 9'!X18</f>
        <v>7424931</v>
      </c>
      <c r="Y18" s="200">
        <v>65131</v>
      </c>
      <c r="Z18" s="200">
        <v>5318</v>
      </c>
      <c r="AA18" s="200">
        <f>'Bieu 10'!AA18+'Bieu 9'!AA18</f>
        <v>0</v>
      </c>
      <c r="AB18" s="200"/>
      <c r="AC18" s="200"/>
      <c r="AD18" s="200">
        <f>'Bieu 10'!AD18+'Bieu 9'!AD18</f>
        <v>0</v>
      </c>
      <c r="AE18" s="200"/>
      <c r="AF18" s="200"/>
      <c r="AG18" s="200">
        <f>'Bieu 10'!AG18+'Bieu 9'!AG18</f>
        <v>0</v>
      </c>
      <c r="AH18" s="200"/>
      <c r="AI18" s="200"/>
      <c r="AJ18" s="200">
        <f t="shared" si="15"/>
        <v>6749825</v>
      </c>
      <c r="AK18" s="200">
        <f t="shared" si="9"/>
        <v>1315205</v>
      </c>
      <c r="AL18" s="200">
        <f t="shared" si="10"/>
        <v>0</v>
      </c>
      <c r="AM18" s="200">
        <f t="shared" si="11"/>
        <v>712336</v>
      </c>
      <c r="AN18" s="200">
        <f t="shared" si="12"/>
        <v>4645069</v>
      </c>
      <c r="AO18" s="200">
        <f t="shared" si="13"/>
        <v>77215</v>
      </c>
      <c r="AP18" s="201">
        <f t="shared" si="7"/>
        <v>0.6151558409279204</v>
      </c>
      <c r="AQ18" s="202">
        <f t="shared" si="8"/>
        <v>0.5275124720691381</v>
      </c>
      <c r="AR18" s="196">
        <f t="shared" si="2"/>
        <v>0</v>
      </c>
      <c r="AS18" s="197">
        <f t="shared" si="3"/>
        <v>0</v>
      </c>
      <c r="AT18" s="197">
        <f t="shared" si="4"/>
        <v>0</v>
      </c>
      <c r="AU18" s="197">
        <f t="shared" si="5"/>
        <v>0</v>
      </c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</row>
    <row r="19" spans="1:108" s="203" customFormat="1" ht="17.25" customHeight="1">
      <c r="A19" s="43">
        <f t="shared" si="14"/>
        <v>10</v>
      </c>
      <c r="B19" s="44" t="s">
        <v>109</v>
      </c>
      <c r="C19" s="200">
        <f>'Bieu 10'!C19+'Bieu 9'!C19</f>
        <v>13500000</v>
      </c>
      <c r="D19" s="200">
        <f>'Bieu 10'!D19+'Bieu 9'!D19</f>
        <v>1350000</v>
      </c>
      <c r="E19" s="200">
        <f>'Bieu 10'!E19+'Bieu 9'!E19</f>
        <v>0</v>
      </c>
      <c r="F19" s="200">
        <f>'Bieu 9'!F19+'Bieu 10'!F19</f>
        <v>675000</v>
      </c>
      <c r="G19" s="200">
        <f>'Bieu 10'!G19+'Bieu 9'!G19</f>
        <v>11475000</v>
      </c>
      <c r="H19" s="200">
        <f>'Bieu 10'!H19+'Bieu 9'!H19</f>
        <v>0</v>
      </c>
      <c r="I19" s="200">
        <f>'Bieu 10'!I19+'Bieu 9'!I19</f>
        <v>0</v>
      </c>
      <c r="J19" s="200">
        <f>'Bieu 10'!J19+'Bieu 9'!J19</f>
        <v>0</v>
      </c>
      <c r="K19" s="200">
        <f>'Bieu 10'!K19+'Bieu 9'!K19</f>
        <v>0</v>
      </c>
      <c r="L19" s="200">
        <f>'Bieu 10'!L19+'Bieu 9'!L19</f>
        <v>0</v>
      </c>
      <c r="M19" s="200">
        <f>'Bieu 10'!M19+'Bieu 9'!M19</f>
        <v>0</v>
      </c>
      <c r="N19" s="200"/>
      <c r="O19" s="200">
        <f>'Bieu 10'!O19+'Bieu 9'!O19</f>
        <v>0</v>
      </c>
      <c r="P19" s="200"/>
      <c r="Q19" s="200"/>
      <c r="R19" s="200">
        <f>'Bieu 10'!R19+'Bieu 9'!R19</f>
        <v>0</v>
      </c>
      <c r="S19" s="200">
        <f>'Bieu 10'!S19+'Bieu 9'!S19</f>
        <v>0</v>
      </c>
      <c r="T19" s="200"/>
      <c r="U19" s="200">
        <f>'Bieu 10'!U19+'Bieu 9'!U19</f>
        <v>0</v>
      </c>
      <c r="V19" s="200"/>
      <c r="W19" s="200"/>
      <c r="X19" s="200">
        <f>'Bieu 10'!X19+'Bieu 9'!X19</f>
        <v>0</v>
      </c>
      <c r="Y19" s="200"/>
      <c r="Z19" s="200"/>
      <c r="AA19" s="200">
        <f>'Bieu 10'!AA19+'Bieu 9'!AA19</f>
        <v>0</v>
      </c>
      <c r="AB19" s="200"/>
      <c r="AC19" s="200"/>
      <c r="AD19" s="200">
        <f>'Bieu 10'!AD19+'Bieu 9'!AD19</f>
        <v>0</v>
      </c>
      <c r="AE19" s="200"/>
      <c r="AF19" s="200"/>
      <c r="AG19" s="200">
        <f>'Bieu 10'!AG19+'Bieu 9'!AG19</f>
        <v>0</v>
      </c>
      <c r="AH19" s="200"/>
      <c r="AI19" s="200"/>
      <c r="AJ19" s="200">
        <f t="shared" si="15"/>
        <v>13500000</v>
      </c>
      <c r="AK19" s="200">
        <f t="shared" si="9"/>
        <v>1350000</v>
      </c>
      <c r="AL19" s="200">
        <f t="shared" si="10"/>
        <v>0</v>
      </c>
      <c r="AM19" s="200">
        <f t="shared" si="11"/>
        <v>675000</v>
      </c>
      <c r="AN19" s="200">
        <f t="shared" si="12"/>
        <v>11475000</v>
      </c>
      <c r="AO19" s="200">
        <f t="shared" si="13"/>
        <v>0</v>
      </c>
      <c r="AP19" s="201">
        <f t="shared" si="7"/>
        <v>0</v>
      </c>
      <c r="AQ19" s="202">
        <f t="shared" si="8"/>
        <v>0</v>
      </c>
      <c r="AR19" s="196">
        <f t="shared" si="2"/>
        <v>0</v>
      </c>
      <c r="AS19" s="197">
        <f t="shared" si="3"/>
        <v>0</v>
      </c>
      <c r="AT19" s="197">
        <f t="shared" si="4"/>
        <v>0</v>
      </c>
      <c r="AU19" s="197">
        <f t="shared" si="5"/>
        <v>0</v>
      </c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</row>
    <row r="20" spans="1:108" s="227" customFormat="1" ht="17.25" customHeight="1">
      <c r="A20" s="76">
        <f t="shared" si="14"/>
        <v>11</v>
      </c>
      <c r="B20" s="77" t="s">
        <v>77</v>
      </c>
      <c r="C20" s="225">
        <f>'Bieu 10'!C20+'Bieu 9'!C20</f>
        <v>150000</v>
      </c>
      <c r="D20" s="225">
        <f>'Bieu 10'!D20+'Bieu 9'!D20</f>
        <v>15000</v>
      </c>
      <c r="E20" s="225">
        <f>'Bieu 10'!E20+'Bieu 9'!E20</f>
        <v>0</v>
      </c>
      <c r="F20" s="225">
        <f>'Bieu 9'!F20+'Bieu 10'!F20</f>
        <v>7500</v>
      </c>
      <c r="G20" s="225">
        <f>'Bieu 10'!G20+'Bieu 9'!G20</f>
        <v>127500</v>
      </c>
      <c r="H20" s="225">
        <f>'Bieu 10'!H20+'Bieu 9'!H20</f>
        <v>0</v>
      </c>
      <c r="I20" s="225">
        <f>'Bieu 10'!I20+'Bieu 9'!I20</f>
        <v>0</v>
      </c>
      <c r="J20" s="225">
        <f>'Bieu 10'!J20+'Bieu 9'!J20</f>
        <v>0</v>
      </c>
      <c r="K20" s="225">
        <f>'Bieu 10'!K20+'Bieu 9'!K20</f>
        <v>0</v>
      </c>
      <c r="L20" s="225">
        <f>'Bieu 10'!L20+'Bieu 9'!L20</f>
        <v>0</v>
      </c>
      <c r="M20" s="225">
        <f>'Bieu 10'!M20+'Bieu 9'!M20</f>
        <v>0</v>
      </c>
      <c r="N20" s="225"/>
      <c r="O20" s="225">
        <f>'Bieu 10'!O20+'Bieu 9'!O20</f>
        <v>0</v>
      </c>
      <c r="P20" s="225"/>
      <c r="Q20" s="225"/>
      <c r="R20" s="225">
        <f>'Bieu 10'!R20+'Bieu 9'!R20</f>
        <v>0</v>
      </c>
      <c r="S20" s="225">
        <f>'Bieu 10'!S20+'Bieu 9'!S20</f>
        <v>0</v>
      </c>
      <c r="T20" s="225"/>
      <c r="U20" s="225">
        <f>'Bieu 10'!U20+'Bieu 9'!U20</f>
        <v>0</v>
      </c>
      <c r="V20" s="225"/>
      <c r="W20" s="225"/>
      <c r="X20" s="225">
        <f>'Bieu 10'!X20+'Bieu 9'!X20</f>
        <v>0</v>
      </c>
      <c r="Y20" s="225"/>
      <c r="Z20" s="225"/>
      <c r="AA20" s="225">
        <f>'Bieu 10'!AA20+'Bieu 9'!AA20</f>
        <v>0</v>
      </c>
      <c r="AB20" s="225"/>
      <c r="AC20" s="225"/>
      <c r="AD20" s="225">
        <f>'Bieu 10'!AD20+'Bieu 9'!AD20</f>
        <v>0</v>
      </c>
      <c r="AE20" s="225"/>
      <c r="AF20" s="225"/>
      <c r="AG20" s="225">
        <f>'Bieu 10'!AG20+'Bieu 9'!AG20</f>
        <v>0</v>
      </c>
      <c r="AH20" s="225"/>
      <c r="AI20" s="225"/>
      <c r="AJ20" s="225">
        <f t="shared" si="15"/>
        <v>150000</v>
      </c>
      <c r="AK20" s="225">
        <f t="shared" si="9"/>
        <v>15000</v>
      </c>
      <c r="AL20" s="225">
        <f t="shared" si="10"/>
        <v>0</v>
      </c>
      <c r="AM20" s="225">
        <f t="shared" si="11"/>
        <v>7500</v>
      </c>
      <c r="AN20" s="225">
        <f t="shared" si="12"/>
        <v>127500</v>
      </c>
      <c r="AO20" s="225">
        <f t="shared" si="13"/>
        <v>0</v>
      </c>
      <c r="AP20" s="226">
        <f t="shared" si="7"/>
        <v>0</v>
      </c>
      <c r="AQ20" s="202">
        <f t="shared" si="8"/>
        <v>0</v>
      </c>
      <c r="AR20" s="196">
        <f t="shared" si="2"/>
        <v>0</v>
      </c>
      <c r="AS20" s="197">
        <f t="shared" si="3"/>
        <v>0</v>
      </c>
      <c r="AT20" s="197">
        <f t="shared" si="4"/>
        <v>0</v>
      </c>
      <c r="AU20" s="197">
        <f t="shared" si="5"/>
        <v>0</v>
      </c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</row>
    <row r="21" spans="1:108" s="234" customFormat="1" ht="17.25" customHeight="1">
      <c r="A21" s="228" t="s">
        <v>110</v>
      </c>
      <c r="B21" s="229" t="s">
        <v>63</v>
      </c>
      <c r="C21" s="230">
        <f>SUM(C22:C26)</f>
        <v>119460479</v>
      </c>
      <c r="D21" s="230">
        <f aca="true" t="shared" si="16" ref="D21:AO21">SUM(D22:D26)</f>
        <v>11946047.899999999</v>
      </c>
      <c r="E21" s="230">
        <f t="shared" si="16"/>
        <v>0</v>
      </c>
      <c r="F21" s="230">
        <f t="shared" si="16"/>
        <v>5986764.85</v>
      </c>
      <c r="G21" s="230">
        <f t="shared" si="16"/>
        <v>101527666.24999999</v>
      </c>
      <c r="H21" s="230">
        <f t="shared" si="16"/>
        <v>0</v>
      </c>
      <c r="I21" s="230">
        <f t="shared" si="16"/>
        <v>31520527</v>
      </c>
      <c r="J21" s="230">
        <f t="shared" si="16"/>
        <v>6476002</v>
      </c>
      <c r="K21" s="230">
        <f t="shared" si="16"/>
        <v>1285924</v>
      </c>
      <c r="L21" s="230">
        <f t="shared" si="16"/>
        <v>0</v>
      </c>
      <c r="M21" s="230">
        <f t="shared" si="16"/>
        <v>23758601</v>
      </c>
      <c r="N21" s="230">
        <f t="shared" si="16"/>
        <v>97839</v>
      </c>
      <c r="O21" s="230">
        <f t="shared" si="16"/>
        <v>21775190</v>
      </c>
      <c r="P21" s="230">
        <f t="shared" si="16"/>
        <v>35181</v>
      </c>
      <c r="Q21" s="230">
        <f t="shared" si="16"/>
        <v>9</v>
      </c>
      <c r="R21" s="230">
        <f t="shared" si="16"/>
        <v>2570096</v>
      </c>
      <c r="S21" s="230">
        <f t="shared" si="16"/>
        <v>1995076</v>
      </c>
      <c r="T21" s="230">
        <f t="shared" si="16"/>
        <v>7566</v>
      </c>
      <c r="U21" s="230">
        <f t="shared" si="16"/>
        <v>16543118</v>
      </c>
      <c r="V21" s="230">
        <f t="shared" si="16"/>
        <v>69101</v>
      </c>
      <c r="W21" s="230">
        <f t="shared" si="16"/>
        <v>1062</v>
      </c>
      <c r="X21" s="230">
        <f t="shared" si="16"/>
        <v>1376434</v>
      </c>
      <c r="Y21" s="230">
        <f t="shared" si="16"/>
        <v>10065</v>
      </c>
      <c r="Z21" s="230">
        <f t="shared" si="16"/>
        <v>1194</v>
      </c>
      <c r="AA21" s="230">
        <f t="shared" si="16"/>
        <v>606977</v>
      </c>
      <c r="AB21" s="230">
        <f t="shared" si="16"/>
        <v>4438</v>
      </c>
      <c r="AC21" s="230">
        <f t="shared" si="16"/>
        <v>2</v>
      </c>
      <c r="AD21" s="230">
        <f t="shared" si="16"/>
        <v>60698</v>
      </c>
      <c r="AE21" s="230">
        <f t="shared" si="16"/>
        <v>0</v>
      </c>
      <c r="AF21" s="230">
        <f t="shared" si="16"/>
        <v>0</v>
      </c>
      <c r="AG21" s="230">
        <f t="shared" si="16"/>
        <v>546279</v>
      </c>
      <c r="AH21" s="230">
        <f t="shared" si="16"/>
        <v>4438</v>
      </c>
      <c r="AI21" s="230">
        <f t="shared" si="16"/>
        <v>0</v>
      </c>
      <c r="AJ21" s="230">
        <f t="shared" si="16"/>
        <v>87939951.99999999</v>
      </c>
      <c r="AK21" s="230">
        <f t="shared" si="16"/>
        <v>5470045.899999999</v>
      </c>
      <c r="AL21" s="230">
        <f t="shared" si="16"/>
        <v>-1285924</v>
      </c>
      <c r="AM21" s="230">
        <f t="shared" si="16"/>
        <v>5986764.85</v>
      </c>
      <c r="AN21" s="230">
        <f t="shared" si="16"/>
        <v>77769065.24999999</v>
      </c>
      <c r="AO21" s="230">
        <f t="shared" si="16"/>
        <v>0</v>
      </c>
      <c r="AP21" s="231">
        <f t="shared" si="7"/>
        <v>0.2340111013829199</v>
      </c>
      <c r="AQ21" s="232">
        <f t="shared" si="8"/>
        <v>0.2638573632372594</v>
      </c>
      <c r="AR21" s="196">
        <f t="shared" si="2"/>
        <v>1.4901161193847656E-08</v>
      </c>
      <c r="AS21" s="197">
        <f t="shared" si="3"/>
        <v>0</v>
      </c>
      <c r="AT21" s="197">
        <f t="shared" si="4"/>
        <v>666900</v>
      </c>
      <c r="AU21" s="197">
        <f t="shared" si="5"/>
        <v>0</v>
      </c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</row>
    <row r="22" spans="1:108" s="199" customFormat="1" ht="17.25" customHeight="1">
      <c r="A22" s="41">
        <v>12</v>
      </c>
      <c r="B22" s="42" t="s">
        <v>78</v>
      </c>
      <c r="C22" s="193">
        <f>'Bieu 10'!C22+'Bieu 9'!C22</f>
        <v>7274502</v>
      </c>
      <c r="D22" s="193">
        <f>'Bieu 10'!D22+'Bieu 9'!D22</f>
        <v>727450.2000000001</v>
      </c>
      <c r="E22" s="193">
        <f>'Bieu 10'!E22+'Bieu 9'!E22</f>
        <v>0</v>
      </c>
      <c r="F22" s="193">
        <f>'Bieu 9'!F22+'Bieu 10'!F22</f>
        <v>377466</v>
      </c>
      <c r="G22" s="193">
        <f>'Bieu 10'!G22+'Bieu 9'!G22</f>
        <v>6169585.8</v>
      </c>
      <c r="H22" s="193">
        <f>'Bieu 10'!H22+'Bieu 9'!H22</f>
        <v>0</v>
      </c>
      <c r="I22" s="193">
        <f>'Bieu 10'!I22+'Bieu 9'!I22</f>
        <v>7094450</v>
      </c>
      <c r="J22" s="193">
        <f>'Bieu 10'!J22+'Bieu 9'!J22</f>
        <v>700053</v>
      </c>
      <c r="K22" s="193">
        <f>'Bieu 10'!K22+'Bieu 9'!K22</f>
        <v>511681</v>
      </c>
      <c r="L22" s="193">
        <f>'Bieu 10'!L22+'Bieu 9'!L22</f>
        <v>0</v>
      </c>
      <c r="M22" s="193">
        <f>'Bieu 10'!M22+'Bieu 9'!M22</f>
        <v>5882716</v>
      </c>
      <c r="N22" s="193">
        <v>43015</v>
      </c>
      <c r="O22" s="193">
        <f>'Bieu 10'!O22+'Bieu 9'!O22</f>
        <v>3899305</v>
      </c>
      <c r="P22" s="193">
        <v>28512</v>
      </c>
      <c r="Q22" s="193">
        <v>3</v>
      </c>
      <c r="R22" s="193">
        <f>'Bieu 10'!R22+'Bieu 9'!R22</f>
        <v>389298</v>
      </c>
      <c r="S22" s="193">
        <f>'Bieu 10'!S22+'Bieu 9'!S22</f>
        <v>1995076</v>
      </c>
      <c r="T22" s="193">
        <v>7566</v>
      </c>
      <c r="U22" s="193">
        <f>'Bieu 10'!U22+'Bieu 9'!U22</f>
        <v>1514931</v>
      </c>
      <c r="V22" s="193">
        <v>20946</v>
      </c>
      <c r="W22" s="193">
        <v>192</v>
      </c>
      <c r="X22" s="193">
        <f>'Bieu 10'!X22+'Bieu 9'!X22</f>
        <v>1376434</v>
      </c>
      <c r="Y22" s="193">
        <v>10065</v>
      </c>
      <c r="Z22" s="193">
        <v>1194</v>
      </c>
      <c r="AA22" s="193">
        <f>'Bieu 10'!AA22+'Bieu 9'!AA22</f>
        <v>606977</v>
      </c>
      <c r="AB22" s="193">
        <v>4438</v>
      </c>
      <c r="AC22" s="193">
        <v>2</v>
      </c>
      <c r="AD22" s="193">
        <f>'Bieu 10'!AD22+'Bieu 9'!AD22</f>
        <v>60698</v>
      </c>
      <c r="AE22" s="193"/>
      <c r="AF22" s="193"/>
      <c r="AG22" s="193">
        <f>'Bieu 10'!AG22+'Bieu 9'!AG22</f>
        <v>546279</v>
      </c>
      <c r="AH22" s="193">
        <v>4438</v>
      </c>
      <c r="AI22" s="193"/>
      <c r="AJ22" s="193">
        <f t="shared" si="15"/>
        <v>180051.99999999988</v>
      </c>
      <c r="AK22" s="193">
        <f t="shared" si="9"/>
        <v>27397.20000000007</v>
      </c>
      <c r="AL22" s="193">
        <f t="shared" si="10"/>
        <v>-511681</v>
      </c>
      <c r="AM22" s="193">
        <f t="shared" si="11"/>
        <v>377466</v>
      </c>
      <c r="AN22" s="193">
        <f t="shared" si="12"/>
        <v>286869.7999999998</v>
      </c>
      <c r="AO22" s="193">
        <f t="shared" si="13"/>
        <v>0</v>
      </c>
      <c r="AP22" s="235">
        <f t="shared" si="7"/>
        <v>0.953502583593213</v>
      </c>
      <c r="AQ22" s="202">
        <f t="shared" si="8"/>
        <v>0.9752488898896446</v>
      </c>
      <c r="AR22" s="196">
        <f t="shared" si="2"/>
        <v>0</v>
      </c>
      <c r="AS22" s="197">
        <f t="shared" si="3"/>
        <v>0</v>
      </c>
      <c r="AT22" s="197">
        <f t="shared" si="4"/>
        <v>0</v>
      </c>
      <c r="AU22" s="197">
        <f t="shared" si="5"/>
        <v>0</v>
      </c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</row>
    <row r="23" spans="1:108" s="203" customFormat="1" ht="17.25" customHeight="1">
      <c r="A23" s="43">
        <v>13</v>
      </c>
      <c r="B23" s="44" t="s">
        <v>79</v>
      </c>
      <c r="C23" s="200">
        <f>'Bieu 10'!C23+'Bieu 9'!C23</f>
        <v>87616262</v>
      </c>
      <c r="D23" s="200">
        <f>'Bieu 10'!D23+'Bieu 9'!D23</f>
        <v>8761626.2</v>
      </c>
      <c r="E23" s="200">
        <f>'Bieu 10'!E23+'Bieu 9'!E23</f>
        <v>0</v>
      </c>
      <c r="F23" s="200">
        <f>'Bieu 9'!F23+'Bieu 10'!F23</f>
        <v>4380813.1</v>
      </c>
      <c r="G23" s="200">
        <f>'Bieu 10'!G23+'Bieu 9'!G23</f>
        <v>74473822.69999999</v>
      </c>
      <c r="H23" s="200">
        <f>'Bieu 10'!H23+'Bieu 9'!H23</f>
        <v>0</v>
      </c>
      <c r="I23" s="200">
        <f>'Bieu 10'!I23+'Bieu 9'!I23</f>
        <v>22255384</v>
      </c>
      <c r="J23" s="200">
        <f>'Bieu 10'!J23+'Bieu 9'!J23</f>
        <v>5046399</v>
      </c>
      <c r="K23" s="200">
        <f>'Bieu 10'!K23+'Bieu 9'!K23</f>
        <v>0</v>
      </c>
      <c r="L23" s="200">
        <f>'Bieu 10'!L23+'Bieu 9'!L23</f>
        <v>0</v>
      </c>
      <c r="M23" s="200">
        <f>'Bieu 10'!M23+'Bieu 9'!M23</f>
        <v>17208985</v>
      </c>
      <c r="N23" s="200">
        <v>48155</v>
      </c>
      <c r="O23" s="200">
        <f>'Bieu 10'!O23+'Bieu 9'!O23</f>
        <v>17208985</v>
      </c>
      <c r="P23" s="200"/>
      <c r="Q23" s="200">
        <v>3</v>
      </c>
      <c r="R23" s="200">
        <f>'Bieu 10'!R23+'Bieu 9'!R23</f>
        <v>2180798</v>
      </c>
      <c r="S23" s="200">
        <f>'Bieu 10'!S23+'Bieu 9'!S23</f>
        <v>0</v>
      </c>
      <c r="T23" s="200"/>
      <c r="U23" s="200">
        <f>'Bieu 10'!U23+'Bieu 9'!U23</f>
        <v>15028187</v>
      </c>
      <c r="V23" s="200">
        <v>48155</v>
      </c>
      <c r="W23" s="552">
        <v>870</v>
      </c>
      <c r="X23" s="200">
        <f>'Bieu 10'!X23+'Bieu 9'!X23</f>
        <v>0</v>
      </c>
      <c r="Y23" s="200"/>
      <c r="Z23" s="200"/>
      <c r="AA23" s="200">
        <f>'Bieu 10'!AA23+'Bieu 9'!AA23</f>
        <v>0</v>
      </c>
      <c r="AB23" s="200"/>
      <c r="AC23" s="200"/>
      <c r="AD23" s="200">
        <f>'Bieu 10'!AD23+'Bieu 9'!AD23</f>
        <v>0</v>
      </c>
      <c r="AE23" s="200"/>
      <c r="AF23" s="200"/>
      <c r="AG23" s="200">
        <f>'Bieu 10'!AG23+'Bieu 9'!AG23</f>
        <v>0</v>
      </c>
      <c r="AH23" s="200"/>
      <c r="AI23" s="200"/>
      <c r="AJ23" s="200">
        <f t="shared" si="15"/>
        <v>65360877.999999985</v>
      </c>
      <c r="AK23" s="200">
        <f t="shared" si="9"/>
        <v>3715227.1999999993</v>
      </c>
      <c r="AL23" s="200">
        <f t="shared" si="10"/>
        <v>0</v>
      </c>
      <c r="AM23" s="200">
        <f t="shared" si="11"/>
        <v>4380813.1</v>
      </c>
      <c r="AN23" s="200">
        <f t="shared" si="12"/>
        <v>57264837.69999999</v>
      </c>
      <c r="AO23" s="200">
        <f t="shared" si="13"/>
        <v>0</v>
      </c>
      <c r="AP23" s="201">
        <f t="shared" si="7"/>
        <v>0.23107428054717008</v>
      </c>
      <c r="AQ23" s="202">
        <f t="shared" si="8"/>
        <v>0.25400974079446575</v>
      </c>
      <c r="AR23" s="196">
        <f t="shared" si="2"/>
        <v>1.4901161193847656E-08</v>
      </c>
      <c r="AS23" s="197">
        <f t="shared" si="3"/>
        <v>0</v>
      </c>
      <c r="AT23" s="197">
        <f t="shared" si="4"/>
        <v>0</v>
      </c>
      <c r="AU23" s="197">
        <f t="shared" si="5"/>
        <v>0</v>
      </c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</row>
    <row r="24" spans="1:108" s="203" customFormat="1" ht="17.25" customHeight="1">
      <c r="A24" s="43">
        <f>A23+1</f>
        <v>14</v>
      </c>
      <c r="B24" s="44" t="s">
        <v>111</v>
      </c>
      <c r="C24" s="200">
        <f>'Bieu 10'!C24+'Bieu 9'!C24</f>
        <v>193388</v>
      </c>
      <c r="D24" s="200">
        <f>'Bieu 10'!D24+'Bieu 9'!D24</f>
        <v>19338.8</v>
      </c>
      <c r="E24" s="200">
        <f>'Bieu 10'!E24+'Bieu 9'!E24</f>
        <v>0</v>
      </c>
      <c r="F24" s="200">
        <f>'Bieu 9'!F24+'Bieu 10'!F24</f>
        <v>9669.4</v>
      </c>
      <c r="G24" s="200">
        <f>'Bieu 10'!G24+'Bieu 9'!G24</f>
        <v>164379.8</v>
      </c>
      <c r="H24" s="200">
        <f>'Bieu 10'!H24+'Bieu 9'!H24</f>
        <v>0</v>
      </c>
      <c r="I24" s="200">
        <f>'Bieu 10'!I24+'Bieu 9'!I24</f>
        <v>0</v>
      </c>
      <c r="J24" s="200">
        <f>'Bieu 10'!J24+'Bieu 9'!J24</f>
        <v>0</v>
      </c>
      <c r="K24" s="200">
        <f>'Bieu 10'!K24+'Bieu 9'!K24</f>
        <v>0</v>
      </c>
      <c r="L24" s="200">
        <f>'Bieu 10'!L24+'Bieu 9'!L24</f>
        <v>0</v>
      </c>
      <c r="M24" s="200">
        <f>'Bieu 10'!M24+'Bieu 9'!M24</f>
        <v>0</v>
      </c>
      <c r="N24" s="200"/>
      <c r="O24" s="200">
        <f>'Bieu 10'!O24+'Bieu 9'!O24</f>
        <v>0</v>
      </c>
      <c r="P24" s="200"/>
      <c r="Q24" s="200"/>
      <c r="R24" s="200">
        <f>'Bieu 10'!R24+'Bieu 9'!R24</f>
        <v>0</v>
      </c>
      <c r="S24" s="200">
        <f>'Bieu 10'!S24+'Bieu 9'!S24</f>
        <v>0</v>
      </c>
      <c r="T24" s="200"/>
      <c r="U24" s="200">
        <f>'Bieu 10'!U24+'Bieu 9'!U24</f>
        <v>0</v>
      </c>
      <c r="V24" s="200"/>
      <c r="W24" s="200"/>
      <c r="X24" s="200">
        <f>'Bieu 10'!X24+'Bieu 9'!X24</f>
        <v>0</v>
      </c>
      <c r="Y24" s="200"/>
      <c r="Z24" s="200"/>
      <c r="AA24" s="200">
        <f>'Bieu 10'!AA24+'Bieu 9'!AA24</f>
        <v>0</v>
      </c>
      <c r="AB24" s="200"/>
      <c r="AC24" s="200"/>
      <c r="AD24" s="200">
        <f>'Bieu 10'!AD24+'Bieu 9'!AD24</f>
        <v>0</v>
      </c>
      <c r="AE24" s="200"/>
      <c r="AF24" s="200"/>
      <c r="AG24" s="200">
        <f>'Bieu 10'!AG24+'Bieu 9'!AG24</f>
        <v>0</v>
      </c>
      <c r="AH24" s="200"/>
      <c r="AI24" s="200"/>
      <c r="AJ24" s="200">
        <f t="shared" si="15"/>
        <v>193387.99999999997</v>
      </c>
      <c r="AK24" s="200">
        <f t="shared" si="9"/>
        <v>19338.8</v>
      </c>
      <c r="AL24" s="200">
        <f t="shared" si="10"/>
        <v>0</v>
      </c>
      <c r="AM24" s="200">
        <f t="shared" si="11"/>
        <v>9669.4</v>
      </c>
      <c r="AN24" s="200">
        <f t="shared" si="12"/>
        <v>164379.8</v>
      </c>
      <c r="AO24" s="200">
        <f t="shared" si="13"/>
        <v>0</v>
      </c>
      <c r="AP24" s="201">
        <f t="shared" si="7"/>
        <v>0</v>
      </c>
      <c r="AQ24" s="202">
        <f t="shared" si="8"/>
        <v>0</v>
      </c>
      <c r="AR24" s="196">
        <f t="shared" si="2"/>
        <v>2.9103830456733704E-11</v>
      </c>
      <c r="AS24" s="197">
        <f t="shared" si="3"/>
        <v>0</v>
      </c>
      <c r="AT24" s="197">
        <f t="shared" si="4"/>
        <v>0</v>
      </c>
      <c r="AU24" s="197">
        <f t="shared" si="5"/>
        <v>0</v>
      </c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</row>
    <row r="25" spans="1:108" s="203" customFormat="1" ht="17.25" customHeight="1">
      <c r="A25" s="43">
        <f>A24+1</f>
        <v>15</v>
      </c>
      <c r="B25" s="44" t="s">
        <v>112</v>
      </c>
      <c r="C25" s="200">
        <f>'Bieu 10'!C25+'Bieu 9'!C25</f>
        <v>13676285</v>
      </c>
      <c r="D25" s="200">
        <f>'Bieu 10'!D25+'Bieu 9'!D25</f>
        <v>1367628.5</v>
      </c>
      <c r="E25" s="200">
        <f>'Bieu 10'!E25+'Bieu 9'!E25</f>
        <v>0</v>
      </c>
      <c r="F25" s="200">
        <f>'Bieu 9'!F25+'Bieu 10'!F25</f>
        <v>683814.25</v>
      </c>
      <c r="G25" s="200">
        <f>'Bieu 10'!G25+'Bieu 9'!G25</f>
        <v>11624842.25</v>
      </c>
      <c r="H25" s="200">
        <f>'Bieu 10'!H25+'Bieu 9'!H25</f>
        <v>0</v>
      </c>
      <c r="I25" s="200">
        <f>'Bieu 10'!I25+'Bieu 9'!I25</f>
        <v>1657217</v>
      </c>
      <c r="J25" s="200">
        <f>'Bieu 10'!J25+'Bieu 9'!J25</f>
        <v>504424</v>
      </c>
      <c r="K25" s="200">
        <f>'Bieu 10'!K25+'Bieu 9'!K25</f>
        <v>485893</v>
      </c>
      <c r="L25" s="200">
        <f>'Bieu 10'!L25+'Bieu 9'!L25</f>
        <v>0</v>
      </c>
      <c r="M25" s="200">
        <f>'Bieu 10'!M25+'Bieu 9'!M25</f>
        <v>666900</v>
      </c>
      <c r="N25" s="200">
        <v>6669</v>
      </c>
      <c r="O25" s="200">
        <f>'Bieu 10'!O25+'Bieu 9'!O25</f>
        <v>666900</v>
      </c>
      <c r="P25" s="200">
        <v>6669</v>
      </c>
      <c r="Q25" s="200">
        <v>3</v>
      </c>
      <c r="R25" s="200">
        <f>'Bieu 10'!R25+'Bieu 9'!R25</f>
        <v>0</v>
      </c>
      <c r="S25" s="200">
        <f>'Bieu 10'!S25+'Bieu 9'!S25</f>
        <v>0</v>
      </c>
      <c r="T25" s="200"/>
      <c r="U25" s="200">
        <f>'Bieu 10'!U25+'Bieu 9'!U25</f>
        <v>0</v>
      </c>
      <c r="V25" s="200">
        <v>0</v>
      </c>
      <c r="W25" s="200"/>
      <c r="X25" s="200">
        <f>'Bieu 10'!X25+'Bieu 9'!X25</f>
        <v>0</v>
      </c>
      <c r="Y25" s="200"/>
      <c r="Z25" s="200"/>
      <c r="AA25" s="200">
        <f>'Bieu 10'!AA25+'Bieu 9'!AA25</f>
        <v>0</v>
      </c>
      <c r="AB25" s="200"/>
      <c r="AC25" s="200"/>
      <c r="AD25" s="200">
        <f>'Bieu 10'!AD25+'Bieu 9'!AD25</f>
        <v>0</v>
      </c>
      <c r="AE25" s="200"/>
      <c r="AF25" s="200"/>
      <c r="AG25" s="200">
        <f>'Bieu 10'!AG25+'Bieu 9'!AG25</f>
        <v>0</v>
      </c>
      <c r="AH25" s="200"/>
      <c r="AI25" s="200"/>
      <c r="AJ25" s="200">
        <f t="shared" si="15"/>
        <v>12019068</v>
      </c>
      <c r="AK25" s="200">
        <f t="shared" si="9"/>
        <v>863204.5</v>
      </c>
      <c r="AL25" s="200">
        <f t="shared" si="10"/>
        <v>-485893</v>
      </c>
      <c r="AM25" s="200">
        <f t="shared" si="11"/>
        <v>683814.25</v>
      </c>
      <c r="AN25" s="200">
        <f t="shared" si="12"/>
        <v>10957942.25</v>
      </c>
      <c r="AO25" s="200">
        <f t="shared" si="13"/>
        <v>0</v>
      </c>
      <c r="AP25" s="201">
        <f t="shared" si="7"/>
        <v>0.05736852042013731</v>
      </c>
      <c r="AQ25" s="202">
        <f t="shared" si="8"/>
        <v>0.12117450023891722</v>
      </c>
      <c r="AR25" s="196">
        <f>C25-D25-E25-F25-G25-H25</f>
        <v>0</v>
      </c>
      <c r="AS25" s="197">
        <f t="shared" si="3"/>
        <v>0</v>
      </c>
      <c r="AT25" s="197">
        <f t="shared" si="4"/>
        <v>666900</v>
      </c>
      <c r="AU25" s="197">
        <f t="shared" si="5"/>
        <v>0</v>
      </c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</row>
    <row r="26" spans="1:108" s="227" customFormat="1" ht="17.25" customHeight="1">
      <c r="A26" s="76">
        <f>A25+1</f>
        <v>16</v>
      </c>
      <c r="B26" s="77" t="s">
        <v>81</v>
      </c>
      <c r="C26" s="225">
        <f>'Bieu 10'!C26+'Bieu 9'!C26</f>
        <v>10700042</v>
      </c>
      <c r="D26" s="225">
        <f>'Bieu 10'!D26+'Bieu 9'!D26</f>
        <v>1070004.2</v>
      </c>
      <c r="E26" s="225">
        <f>'Bieu 10'!E26+'Bieu 9'!E26</f>
        <v>0</v>
      </c>
      <c r="F26" s="225">
        <f>'Bieu 9'!F26+'Bieu 10'!F26</f>
        <v>535002.1</v>
      </c>
      <c r="G26" s="225">
        <f>'Bieu 10'!G26+'Bieu 9'!G26</f>
        <v>9095035.700000001</v>
      </c>
      <c r="H26" s="225">
        <f>'Bieu 10'!H26+'Bieu 9'!H26</f>
        <v>0</v>
      </c>
      <c r="I26" s="225">
        <f>'Bieu 10'!I26+'Bieu 9'!I26</f>
        <v>513476</v>
      </c>
      <c r="J26" s="225">
        <f>'Bieu 10'!J26+'Bieu 9'!J26</f>
        <v>225126</v>
      </c>
      <c r="K26" s="225">
        <f>'Bieu 10'!K26+'Bieu 9'!K26</f>
        <v>288350</v>
      </c>
      <c r="L26" s="225">
        <f>'Bieu 10'!L26+'Bieu 9'!L26</f>
        <v>0</v>
      </c>
      <c r="M26" s="225">
        <f>'Bieu 10'!M26+'Bieu 9'!M26</f>
        <v>0</v>
      </c>
      <c r="N26" s="225"/>
      <c r="O26" s="225">
        <f>'Bieu 10'!O26+'Bieu 9'!O26</f>
        <v>0</v>
      </c>
      <c r="P26" s="225"/>
      <c r="Q26" s="225"/>
      <c r="R26" s="225">
        <f>'Bieu 10'!R26+'Bieu 9'!R26</f>
        <v>0</v>
      </c>
      <c r="S26" s="225">
        <f>'Bieu 10'!S26+'Bieu 9'!S26</f>
        <v>0</v>
      </c>
      <c r="T26" s="225"/>
      <c r="U26" s="225">
        <f>'Bieu 10'!U26+'Bieu 9'!U26</f>
        <v>0</v>
      </c>
      <c r="V26" s="225"/>
      <c r="W26" s="225"/>
      <c r="X26" s="225">
        <f>'Bieu 10'!X26+'Bieu 9'!X26</f>
        <v>0</v>
      </c>
      <c r="Y26" s="225"/>
      <c r="Z26" s="225"/>
      <c r="AA26" s="225">
        <f>'Bieu 10'!AA26+'Bieu 9'!AA26</f>
        <v>0</v>
      </c>
      <c r="AB26" s="225"/>
      <c r="AC26" s="225"/>
      <c r="AD26" s="225">
        <f>'Bieu 10'!AD26+'Bieu 9'!AD26</f>
        <v>0</v>
      </c>
      <c r="AE26" s="225"/>
      <c r="AF26" s="225"/>
      <c r="AG26" s="225">
        <f>'Bieu 10'!AG26+'Bieu 9'!AG26</f>
        <v>0</v>
      </c>
      <c r="AH26" s="225"/>
      <c r="AI26" s="225"/>
      <c r="AJ26" s="225">
        <f t="shared" si="15"/>
        <v>10186566</v>
      </c>
      <c r="AK26" s="225">
        <f t="shared" si="9"/>
        <v>844878.2</v>
      </c>
      <c r="AL26" s="225">
        <f t="shared" si="10"/>
        <v>-288350</v>
      </c>
      <c r="AM26" s="225">
        <f t="shared" si="11"/>
        <v>535002.1</v>
      </c>
      <c r="AN26" s="225">
        <f t="shared" si="12"/>
        <v>9095035.700000001</v>
      </c>
      <c r="AO26" s="225">
        <f t="shared" si="13"/>
        <v>0</v>
      </c>
      <c r="AP26" s="226">
        <f t="shared" si="7"/>
        <v>0</v>
      </c>
      <c r="AQ26" s="202">
        <f t="shared" si="8"/>
        <v>0.047988222849966386</v>
      </c>
      <c r="AR26" s="196">
        <f t="shared" si="2"/>
        <v>0</v>
      </c>
      <c r="AS26" s="197">
        <f t="shared" si="3"/>
        <v>0</v>
      </c>
      <c r="AT26" s="197">
        <f t="shared" si="4"/>
        <v>0</v>
      </c>
      <c r="AU26" s="197">
        <f t="shared" si="5"/>
        <v>0</v>
      </c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</row>
    <row r="27" spans="1:108" s="234" customFormat="1" ht="17.25" customHeight="1">
      <c r="A27" s="228" t="s">
        <v>113</v>
      </c>
      <c r="B27" s="229" t="s">
        <v>64</v>
      </c>
      <c r="C27" s="230">
        <f>SUM(C28:C34)</f>
        <v>152229089</v>
      </c>
      <c r="D27" s="230">
        <f aca="true" t="shared" si="17" ref="D27:AO27">SUM(D28:D34)</f>
        <v>15222909</v>
      </c>
      <c r="E27" s="230">
        <f t="shared" si="17"/>
        <v>0</v>
      </c>
      <c r="F27" s="230">
        <f t="shared" si="17"/>
        <v>6214092.5</v>
      </c>
      <c r="G27" s="230">
        <f t="shared" si="17"/>
        <v>130792087.5</v>
      </c>
      <c r="H27" s="230">
        <f t="shared" si="17"/>
        <v>0</v>
      </c>
      <c r="I27" s="230">
        <f t="shared" si="17"/>
        <v>43166181</v>
      </c>
      <c r="J27" s="230">
        <f t="shared" si="17"/>
        <v>10212341</v>
      </c>
      <c r="K27" s="230">
        <f t="shared" si="17"/>
        <v>0</v>
      </c>
      <c r="L27" s="230">
        <f t="shared" si="17"/>
        <v>61679</v>
      </c>
      <c r="M27" s="230">
        <f t="shared" si="17"/>
        <v>32892161</v>
      </c>
      <c r="N27" s="230">
        <f t="shared" si="17"/>
        <v>299739</v>
      </c>
      <c r="O27" s="230">
        <f t="shared" si="17"/>
        <v>31488925</v>
      </c>
      <c r="P27" s="230">
        <f t="shared" si="17"/>
        <v>279439</v>
      </c>
      <c r="Q27" s="230">
        <f t="shared" si="17"/>
        <v>24</v>
      </c>
      <c r="R27" s="230">
        <f t="shared" si="17"/>
        <v>2547395</v>
      </c>
      <c r="S27" s="230">
        <f t="shared" si="17"/>
        <v>4124255</v>
      </c>
      <c r="T27" s="230">
        <f t="shared" si="17"/>
        <v>105534</v>
      </c>
      <c r="U27" s="230">
        <f t="shared" si="17"/>
        <v>18802307</v>
      </c>
      <c r="V27" s="230">
        <f t="shared" si="17"/>
        <v>152239</v>
      </c>
      <c r="W27" s="230">
        <f t="shared" si="17"/>
        <v>13062</v>
      </c>
      <c r="X27" s="230">
        <f t="shared" si="17"/>
        <v>0</v>
      </c>
      <c r="Y27" s="230">
        <f t="shared" si="17"/>
        <v>0</v>
      </c>
      <c r="Z27" s="230">
        <f t="shared" si="17"/>
        <v>0</v>
      </c>
      <c r="AA27" s="230">
        <f t="shared" si="17"/>
        <v>1403236</v>
      </c>
      <c r="AB27" s="230">
        <f t="shared" si="17"/>
        <v>0</v>
      </c>
      <c r="AC27" s="230">
        <f t="shared" si="17"/>
        <v>3</v>
      </c>
      <c r="AD27" s="230">
        <f t="shared" si="17"/>
        <v>140324</v>
      </c>
      <c r="AE27" s="230">
        <f t="shared" si="17"/>
        <v>0</v>
      </c>
      <c r="AF27" s="230">
        <f t="shared" si="17"/>
        <v>0</v>
      </c>
      <c r="AG27" s="230">
        <f t="shared" si="17"/>
        <v>1262912</v>
      </c>
      <c r="AH27" s="230">
        <f t="shared" si="17"/>
        <v>20300</v>
      </c>
      <c r="AI27" s="230">
        <f t="shared" si="17"/>
        <v>2872</v>
      </c>
      <c r="AJ27" s="230">
        <f t="shared" si="17"/>
        <v>109062908.00000001</v>
      </c>
      <c r="AK27" s="230">
        <f t="shared" si="17"/>
        <v>5010568</v>
      </c>
      <c r="AL27" s="230">
        <f t="shared" si="17"/>
        <v>0</v>
      </c>
      <c r="AM27" s="230">
        <f t="shared" si="17"/>
        <v>6152413.5</v>
      </c>
      <c r="AN27" s="230">
        <f t="shared" si="17"/>
        <v>97899926.5</v>
      </c>
      <c r="AO27" s="230">
        <f t="shared" si="17"/>
        <v>0</v>
      </c>
      <c r="AP27" s="231">
        <f t="shared" si="7"/>
        <v>0.2514843338669092</v>
      </c>
      <c r="AQ27" s="232">
        <f t="shared" si="8"/>
        <v>0.2835606603413359</v>
      </c>
      <c r="AR27" s="196">
        <f t="shared" si="2"/>
        <v>0</v>
      </c>
      <c r="AS27" s="197">
        <f t="shared" si="3"/>
        <v>0</v>
      </c>
      <c r="AT27" s="197">
        <f t="shared" si="4"/>
        <v>6014968</v>
      </c>
      <c r="AU27" s="197">
        <f t="shared" si="5"/>
        <v>0</v>
      </c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</row>
    <row r="28" spans="1:108" s="199" customFormat="1" ht="17.25" customHeight="1">
      <c r="A28" s="41">
        <v>17</v>
      </c>
      <c r="B28" s="42" t="s">
        <v>114</v>
      </c>
      <c r="C28" s="193">
        <f>'Bieu 10'!C28+'Bieu 9'!C28</f>
        <v>106182377</v>
      </c>
      <c r="D28" s="193">
        <f>'Bieu 10'!D28+'Bieu 9'!D28</f>
        <v>10618237.9</v>
      </c>
      <c r="E28" s="193">
        <f>'Bieu 10'!E28+'Bieu 9'!E28</f>
        <v>0</v>
      </c>
      <c r="F28" s="193">
        <f>'Bieu 9'!F28+'Bieu 10'!F28</f>
        <v>3911757.45</v>
      </c>
      <c r="G28" s="193">
        <f>'Bieu 10'!G28+'Bieu 9'!G28</f>
        <v>91652381.65</v>
      </c>
      <c r="H28" s="193">
        <f>'Bieu 10'!H28+'Bieu 9'!H28</f>
        <v>0</v>
      </c>
      <c r="I28" s="193">
        <f>'Bieu 10'!I28+'Bieu 9'!I28</f>
        <v>35917622</v>
      </c>
      <c r="J28" s="193">
        <f>'Bieu 10'!J28+'Bieu 9'!J28</f>
        <v>10088982</v>
      </c>
      <c r="K28" s="193">
        <f>'Bieu 10'!K28+'Bieu 9'!K28</f>
        <v>0</v>
      </c>
      <c r="L28" s="193">
        <f>'Bieu 10'!L28+'Bieu 9'!L28</f>
        <v>0</v>
      </c>
      <c r="M28" s="193">
        <f>'Bieu 10'!M28+'Bieu 9'!M28</f>
        <v>25828640</v>
      </c>
      <c r="N28" s="193">
        <v>177281</v>
      </c>
      <c r="O28" s="193">
        <f>'Bieu 10'!O28+'Bieu 9'!O28</f>
        <v>24425404</v>
      </c>
      <c r="P28" s="193">
        <v>156981</v>
      </c>
      <c r="Q28" s="193">
        <v>9</v>
      </c>
      <c r="R28" s="193">
        <f>'Bieu 10'!R28+'Bieu 9'!R28</f>
        <v>2442540</v>
      </c>
      <c r="S28" s="193">
        <f>'Bieu 10'!S28+'Bieu 9'!S28</f>
        <v>3249925</v>
      </c>
      <c r="T28" s="193">
        <v>23400</v>
      </c>
      <c r="U28" s="193">
        <f>'Bieu 10'!U28+'Bieu 9'!U28</f>
        <v>18732939</v>
      </c>
      <c r="V28" s="193">
        <v>133581</v>
      </c>
      <c r="W28" s="193">
        <v>13039</v>
      </c>
      <c r="X28" s="193">
        <f>'Bieu 10'!X28+'Bieu 9'!X28</f>
        <v>0</v>
      </c>
      <c r="Y28" s="193"/>
      <c r="Z28" s="193"/>
      <c r="AA28" s="193">
        <f>'Bieu 10'!AA28+'Bieu 9'!AA28</f>
        <v>1403236</v>
      </c>
      <c r="AB28" s="193"/>
      <c r="AC28" s="193">
        <v>3</v>
      </c>
      <c r="AD28" s="193">
        <f>'Bieu 10'!AD28+'Bieu 9'!AD28</f>
        <v>140324</v>
      </c>
      <c r="AE28" s="193"/>
      <c r="AF28" s="193"/>
      <c r="AG28" s="193">
        <f>'Bieu 10'!AG28+'Bieu 9'!AG28</f>
        <v>1262912</v>
      </c>
      <c r="AH28" s="193">
        <v>20300</v>
      </c>
      <c r="AI28" s="193">
        <v>2872</v>
      </c>
      <c r="AJ28" s="193">
        <f t="shared" si="15"/>
        <v>70264755.00000001</v>
      </c>
      <c r="AK28" s="193">
        <f t="shared" si="9"/>
        <v>529255.9000000004</v>
      </c>
      <c r="AL28" s="193">
        <f t="shared" si="10"/>
        <v>0</v>
      </c>
      <c r="AM28" s="193">
        <f t="shared" si="11"/>
        <v>3911757.45</v>
      </c>
      <c r="AN28" s="193">
        <f t="shared" si="12"/>
        <v>65823741.650000006</v>
      </c>
      <c r="AO28" s="193">
        <f t="shared" si="13"/>
        <v>0</v>
      </c>
      <c r="AP28" s="235">
        <f t="shared" si="7"/>
        <v>0.2818108982550373</v>
      </c>
      <c r="AQ28" s="202">
        <f t="shared" si="8"/>
        <v>0.338263495457443</v>
      </c>
      <c r="AR28" s="196">
        <f t="shared" si="2"/>
        <v>-1.4901161193847656E-08</v>
      </c>
      <c r="AS28" s="197">
        <f t="shared" si="3"/>
        <v>0</v>
      </c>
      <c r="AT28" s="197">
        <f t="shared" si="4"/>
        <v>0</v>
      </c>
      <c r="AU28" s="197">
        <f t="shared" si="5"/>
        <v>0</v>
      </c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</row>
    <row r="29" spans="1:108" s="203" customFormat="1" ht="17.25" customHeight="1">
      <c r="A29" s="43">
        <f aca="true" t="shared" si="18" ref="A29:A34">A28+1</f>
        <v>18</v>
      </c>
      <c r="B29" s="44" t="s">
        <v>115</v>
      </c>
      <c r="C29" s="200">
        <f>'Bieu 10'!C29+'Bieu 9'!C29</f>
        <v>1791316</v>
      </c>
      <c r="D29" s="200">
        <f>'Bieu 10'!D29+'Bieu 9'!D29</f>
        <v>179131.6</v>
      </c>
      <c r="E29" s="200">
        <f>'Bieu 10'!E29+'Bieu 9'!E29</f>
        <v>0</v>
      </c>
      <c r="F29" s="200">
        <f>'Bieu 9'!F29+'Bieu 10'!F29</f>
        <v>89565.8</v>
      </c>
      <c r="G29" s="200">
        <f>'Bieu 10'!G29+'Bieu 9'!G29</f>
        <v>1522618.5999999999</v>
      </c>
      <c r="H29" s="200">
        <f>'Bieu 10'!H29+'Bieu 9'!H29</f>
        <v>0</v>
      </c>
      <c r="I29" s="200">
        <f>'Bieu 10'!I29+'Bieu 9'!I29</f>
        <v>0</v>
      </c>
      <c r="J29" s="200">
        <f>'Bieu 10'!J29+'Bieu 9'!J29</f>
        <v>0</v>
      </c>
      <c r="K29" s="200">
        <f>'Bieu 10'!K29+'Bieu 9'!K29</f>
        <v>0</v>
      </c>
      <c r="L29" s="200">
        <f>'Bieu 10'!L29+'Bieu 9'!L29</f>
        <v>0</v>
      </c>
      <c r="M29" s="200">
        <f>'Bieu 10'!M29+'Bieu 9'!M29</f>
        <v>0</v>
      </c>
      <c r="N29" s="200"/>
      <c r="O29" s="200">
        <f>'Bieu 10'!O29+'Bieu 9'!O29</f>
        <v>0</v>
      </c>
      <c r="P29" s="200"/>
      <c r="Q29" s="200"/>
      <c r="R29" s="200">
        <f>'Bieu 10'!R29+'Bieu 9'!R29</f>
        <v>0</v>
      </c>
      <c r="S29" s="200">
        <f>'Bieu 10'!S29+'Bieu 9'!S29</f>
        <v>0</v>
      </c>
      <c r="T29" s="200"/>
      <c r="U29" s="200">
        <f>'Bieu 10'!U29+'Bieu 9'!U29</f>
        <v>0</v>
      </c>
      <c r="V29" s="200"/>
      <c r="W29" s="200"/>
      <c r="X29" s="200">
        <f>'Bieu 10'!X29+'Bieu 9'!X29</f>
        <v>0</v>
      </c>
      <c r="Y29" s="200"/>
      <c r="Z29" s="200"/>
      <c r="AA29" s="200">
        <f>'Bieu 10'!AA29+'Bieu 9'!AA29</f>
        <v>0</v>
      </c>
      <c r="AB29" s="200"/>
      <c r="AC29" s="200"/>
      <c r="AD29" s="200">
        <f>'Bieu 10'!AD29+'Bieu 9'!AD29</f>
        <v>0</v>
      </c>
      <c r="AE29" s="200"/>
      <c r="AF29" s="200"/>
      <c r="AG29" s="200">
        <f>'Bieu 10'!AG29+'Bieu 9'!AG29</f>
        <v>0</v>
      </c>
      <c r="AH29" s="200"/>
      <c r="AI29" s="200"/>
      <c r="AJ29" s="200">
        <f t="shared" si="15"/>
        <v>1791316</v>
      </c>
      <c r="AK29" s="200">
        <f t="shared" si="9"/>
        <v>179131.6</v>
      </c>
      <c r="AL29" s="200">
        <f t="shared" si="10"/>
        <v>0</v>
      </c>
      <c r="AM29" s="200">
        <f t="shared" si="11"/>
        <v>89565.8</v>
      </c>
      <c r="AN29" s="200">
        <f t="shared" si="12"/>
        <v>1522618.5999999999</v>
      </c>
      <c r="AO29" s="200">
        <f t="shared" si="13"/>
        <v>0</v>
      </c>
      <c r="AP29" s="201">
        <f t="shared" si="7"/>
        <v>0</v>
      </c>
      <c r="AQ29" s="202">
        <f t="shared" si="8"/>
        <v>0</v>
      </c>
      <c r="AR29" s="196">
        <f t="shared" si="2"/>
        <v>0</v>
      </c>
      <c r="AS29" s="197">
        <f t="shared" si="3"/>
        <v>0</v>
      </c>
      <c r="AT29" s="197">
        <f t="shared" si="4"/>
        <v>0</v>
      </c>
      <c r="AU29" s="197">
        <f t="shared" si="5"/>
        <v>0</v>
      </c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</row>
    <row r="30" spans="1:108" s="203" customFormat="1" ht="17.25" customHeight="1">
      <c r="A30" s="43">
        <f t="shared" si="18"/>
        <v>19</v>
      </c>
      <c r="B30" s="44" t="s">
        <v>116</v>
      </c>
      <c r="C30" s="200">
        <f>'Bieu 10'!C30+'Bieu 9'!C30</f>
        <v>0</v>
      </c>
      <c r="D30" s="200">
        <f>'Bieu 10'!D30+'Bieu 9'!D30</f>
        <v>0</v>
      </c>
      <c r="E30" s="200">
        <f>'Bieu 10'!E30+'Bieu 9'!E30</f>
        <v>0</v>
      </c>
      <c r="F30" s="200">
        <f>'Bieu 9'!F30+'Bieu 10'!F30</f>
        <v>0</v>
      </c>
      <c r="G30" s="200">
        <f>'Bieu 10'!G30+'Bieu 9'!G30</f>
        <v>0</v>
      </c>
      <c r="H30" s="200">
        <f>'Bieu 10'!H30+'Bieu 9'!H30</f>
        <v>0</v>
      </c>
      <c r="I30" s="200">
        <f>'Bieu 10'!I30+'Bieu 9'!I30</f>
        <v>0</v>
      </c>
      <c r="J30" s="200">
        <f>'Bieu 10'!J30+'Bieu 9'!J30</f>
        <v>0</v>
      </c>
      <c r="K30" s="200">
        <f>'Bieu 10'!K30+'Bieu 9'!K30</f>
        <v>0</v>
      </c>
      <c r="L30" s="200">
        <f>'Bieu 10'!L30+'Bieu 9'!L30</f>
        <v>0</v>
      </c>
      <c r="M30" s="200">
        <f>'Bieu 10'!M30+'Bieu 9'!M30</f>
        <v>0</v>
      </c>
      <c r="N30" s="200"/>
      <c r="O30" s="200">
        <f>'Bieu 10'!O30+'Bieu 9'!O30</f>
        <v>0</v>
      </c>
      <c r="P30" s="200"/>
      <c r="Q30" s="200"/>
      <c r="R30" s="200">
        <f>'Bieu 10'!R30+'Bieu 9'!R30</f>
        <v>0</v>
      </c>
      <c r="S30" s="200">
        <f>'Bieu 10'!S30+'Bieu 9'!S30</f>
        <v>0</v>
      </c>
      <c r="T30" s="200"/>
      <c r="U30" s="200">
        <f>'Bieu 10'!U30+'Bieu 9'!U30</f>
        <v>0</v>
      </c>
      <c r="V30" s="200"/>
      <c r="W30" s="200"/>
      <c r="X30" s="200">
        <f>'Bieu 10'!X30+'Bieu 9'!X30</f>
        <v>0</v>
      </c>
      <c r="Y30" s="200"/>
      <c r="Z30" s="200"/>
      <c r="AA30" s="200">
        <f>'Bieu 10'!AA30+'Bieu 9'!AA30</f>
        <v>0</v>
      </c>
      <c r="AB30" s="200"/>
      <c r="AC30" s="200"/>
      <c r="AD30" s="200">
        <f>'Bieu 10'!AD30+'Bieu 9'!AD30</f>
        <v>0</v>
      </c>
      <c r="AE30" s="200"/>
      <c r="AF30" s="200"/>
      <c r="AG30" s="200">
        <f>'Bieu 10'!AG30+'Bieu 9'!AG30</f>
        <v>0</v>
      </c>
      <c r="AH30" s="200"/>
      <c r="AI30" s="200"/>
      <c r="AJ30" s="200">
        <f t="shared" si="15"/>
        <v>0</v>
      </c>
      <c r="AK30" s="200">
        <f t="shared" si="9"/>
        <v>0</v>
      </c>
      <c r="AL30" s="200">
        <f t="shared" si="10"/>
        <v>0</v>
      </c>
      <c r="AM30" s="200">
        <f t="shared" si="11"/>
        <v>0</v>
      </c>
      <c r="AN30" s="200">
        <f t="shared" si="12"/>
        <v>0</v>
      </c>
      <c r="AO30" s="200">
        <f t="shared" si="13"/>
        <v>0</v>
      </c>
      <c r="AP30" s="201" t="e">
        <f t="shared" si="7"/>
        <v>#DIV/0!</v>
      </c>
      <c r="AQ30" s="202" t="e">
        <f t="shared" si="8"/>
        <v>#DIV/0!</v>
      </c>
      <c r="AR30" s="196">
        <f t="shared" si="2"/>
        <v>0</v>
      </c>
      <c r="AS30" s="197">
        <f t="shared" si="3"/>
        <v>0</v>
      </c>
      <c r="AT30" s="197">
        <f t="shared" si="4"/>
        <v>0</v>
      </c>
      <c r="AU30" s="197">
        <f t="shared" si="5"/>
        <v>0</v>
      </c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</row>
    <row r="31" spans="1:108" s="203" customFormat="1" ht="17.25" customHeight="1">
      <c r="A31" s="43">
        <f t="shared" si="18"/>
        <v>20</v>
      </c>
      <c r="B31" s="44" t="s">
        <v>84</v>
      </c>
      <c r="C31" s="200">
        <f>'Bieu 10'!C31+'Bieu 9'!C31</f>
        <v>160242</v>
      </c>
      <c r="D31" s="200">
        <f>'Bieu 10'!D31+'Bieu 9'!D31</f>
        <v>16024.2</v>
      </c>
      <c r="E31" s="200">
        <f>'Bieu 10'!E31+'Bieu 9'!E31</f>
        <v>0</v>
      </c>
      <c r="F31" s="200">
        <f>'Bieu 9'!F31+'Bieu 10'!F31</f>
        <v>8012.1</v>
      </c>
      <c r="G31" s="200">
        <f>'Bieu 10'!G31+'Bieu 9'!G31</f>
        <v>136205.69999999998</v>
      </c>
      <c r="H31" s="200">
        <f>'Bieu 10'!H31+'Bieu 9'!H31</f>
        <v>0</v>
      </c>
      <c r="I31" s="200">
        <f>'Bieu 10'!I31+'Bieu 9'!I31</f>
        <v>0</v>
      </c>
      <c r="J31" s="200">
        <f>'Bieu 10'!J31+'Bieu 9'!J31</f>
        <v>0</v>
      </c>
      <c r="K31" s="200">
        <f>'Bieu 10'!K31+'Bieu 9'!K31</f>
        <v>0</v>
      </c>
      <c r="L31" s="200">
        <f>'Bieu 10'!L31+'Bieu 9'!L31</f>
        <v>0</v>
      </c>
      <c r="M31" s="200">
        <f>'Bieu 10'!M31+'Bieu 9'!M31</f>
        <v>0</v>
      </c>
      <c r="N31" s="200"/>
      <c r="O31" s="200">
        <f>'Bieu 10'!O31+'Bieu 9'!O31</f>
        <v>0</v>
      </c>
      <c r="P31" s="200"/>
      <c r="Q31" s="200"/>
      <c r="R31" s="200">
        <f>'Bieu 10'!R31+'Bieu 9'!R31</f>
        <v>0</v>
      </c>
      <c r="S31" s="200">
        <f>'Bieu 10'!S31+'Bieu 9'!S31</f>
        <v>0</v>
      </c>
      <c r="T31" s="200"/>
      <c r="U31" s="200">
        <f>'Bieu 10'!U31+'Bieu 9'!U31</f>
        <v>0</v>
      </c>
      <c r="V31" s="200"/>
      <c r="W31" s="200"/>
      <c r="X31" s="200">
        <f>'Bieu 10'!X31+'Bieu 9'!X31</f>
        <v>0</v>
      </c>
      <c r="Y31" s="200"/>
      <c r="Z31" s="200"/>
      <c r="AA31" s="200">
        <f>'Bieu 10'!AA31+'Bieu 9'!AA31</f>
        <v>0</v>
      </c>
      <c r="AB31" s="200"/>
      <c r="AC31" s="200"/>
      <c r="AD31" s="200">
        <f>'Bieu 10'!AD31+'Bieu 9'!AD31</f>
        <v>0</v>
      </c>
      <c r="AE31" s="200"/>
      <c r="AF31" s="200"/>
      <c r="AG31" s="200">
        <f>'Bieu 10'!AG31+'Bieu 9'!AG31</f>
        <v>0</v>
      </c>
      <c r="AH31" s="200"/>
      <c r="AI31" s="200"/>
      <c r="AJ31" s="200">
        <f t="shared" si="15"/>
        <v>160242</v>
      </c>
      <c r="AK31" s="200">
        <f t="shared" si="9"/>
        <v>16024.2</v>
      </c>
      <c r="AL31" s="200">
        <f t="shared" si="10"/>
        <v>0</v>
      </c>
      <c r="AM31" s="200">
        <f t="shared" si="11"/>
        <v>8012.1</v>
      </c>
      <c r="AN31" s="200">
        <f t="shared" si="12"/>
        <v>136205.69999999998</v>
      </c>
      <c r="AO31" s="200">
        <f t="shared" si="13"/>
        <v>0</v>
      </c>
      <c r="AP31" s="201">
        <f t="shared" si="7"/>
        <v>0</v>
      </c>
      <c r="AQ31" s="202">
        <f t="shared" si="8"/>
        <v>0</v>
      </c>
      <c r="AR31" s="196">
        <f t="shared" si="2"/>
        <v>0</v>
      </c>
      <c r="AS31" s="197">
        <f t="shared" si="3"/>
        <v>0</v>
      </c>
      <c r="AT31" s="197">
        <f t="shared" si="4"/>
        <v>0</v>
      </c>
      <c r="AU31" s="197">
        <f t="shared" si="5"/>
        <v>0</v>
      </c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</row>
    <row r="32" spans="1:108" s="203" customFormat="1" ht="17.25" customHeight="1">
      <c r="A32" s="43">
        <f t="shared" si="18"/>
        <v>21</v>
      </c>
      <c r="B32" s="44" t="s">
        <v>83</v>
      </c>
      <c r="C32" s="200">
        <f>'Bieu 10'!C32+'Bieu 9'!C32</f>
        <v>2467683</v>
      </c>
      <c r="D32" s="200">
        <f>'Bieu 10'!D32+'Bieu 9'!D32</f>
        <v>246768.30000000002</v>
      </c>
      <c r="E32" s="200">
        <f>'Bieu 10'!E32+'Bieu 9'!E32</f>
        <v>0</v>
      </c>
      <c r="F32" s="200">
        <f>'Bieu 9'!F32+'Bieu 10'!F32</f>
        <v>123384.15000000001</v>
      </c>
      <c r="G32" s="200">
        <f>'Bieu 10'!G32+'Bieu 9'!G32</f>
        <v>2097530.55</v>
      </c>
      <c r="H32" s="200">
        <f>'Bieu 10'!H32+'Bieu 9'!H32</f>
        <v>0</v>
      </c>
      <c r="I32" s="200">
        <f>'Bieu 10'!I32+'Bieu 9'!I32</f>
        <v>0</v>
      </c>
      <c r="J32" s="200">
        <f>'Bieu 10'!J32+'Bieu 9'!J32</f>
        <v>0</v>
      </c>
      <c r="K32" s="200">
        <f>'Bieu 10'!K32+'Bieu 9'!K32</f>
        <v>0</v>
      </c>
      <c r="L32" s="200">
        <f>'Bieu 10'!L32+'Bieu 9'!L32</f>
        <v>0</v>
      </c>
      <c r="M32" s="200">
        <f>'Bieu 10'!M32+'Bieu 9'!M32</f>
        <v>0</v>
      </c>
      <c r="N32" s="200"/>
      <c r="O32" s="200">
        <f>'Bieu 10'!O32+'Bieu 9'!O32</f>
        <v>0</v>
      </c>
      <c r="P32" s="200"/>
      <c r="Q32" s="200"/>
      <c r="R32" s="200">
        <f>'Bieu 10'!R32+'Bieu 9'!R32</f>
        <v>0</v>
      </c>
      <c r="S32" s="200">
        <f>'Bieu 10'!S32+'Bieu 9'!S32</f>
        <v>0</v>
      </c>
      <c r="T32" s="200"/>
      <c r="U32" s="200">
        <f>'Bieu 10'!U32+'Bieu 9'!U32</f>
        <v>0</v>
      </c>
      <c r="V32" s="200"/>
      <c r="W32" s="200"/>
      <c r="X32" s="200">
        <f>'Bieu 10'!X32+'Bieu 9'!X32</f>
        <v>0</v>
      </c>
      <c r="Y32" s="200"/>
      <c r="Z32" s="200"/>
      <c r="AA32" s="200">
        <f>'Bieu 10'!AA32+'Bieu 9'!AA32</f>
        <v>0</v>
      </c>
      <c r="AB32" s="200"/>
      <c r="AC32" s="200"/>
      <c r="AD32" s="200">
        <f>'Bieu 10'!AD32+'Bieu 9'!AD32</f>
        <v>0</v>
      </c>
      <c r="AE32" s="200"/>
      <c r="AF32" s="200"/>
      <c r="AG32" s="200">
        <f>'Bieu 10'!AG32+'Bieu 9'!AG32</f>
        <v>0</v>
      </c>
      <c r="AH32" s="200"/>
      <c r="AI32" s="200"/>
      <c r="AJ32" s="200">
        <f t="shared" si="15"/>
        <v>2467682.9999999995</v>
      </c>
      <c r="AK32" s="200">
        <f t="shared" si="9"/>
        <v>246768.30000000002</v>
      </c>
      <c r="AL32" s="200">
        <f t="shared" si="10"/>
        <v>0</v>
      </c>
      <c r="AM32" s="200">
        <f t="shared" si="11"/>
        <v>123384.15000000001</v>
      </c>
      <c r="AN32" s="200">
        <f t="shared" si="12"/>
        <v>2097530.55</v>
      </c>
      <c r="AO32" s="200">
        <f t="shared" si="13"/>
        <v>0</v>
      </c>
      <c r="AP32" s="201">
        <f t="shared" si="7"/>
        <v>0</v>
      </c>
      <c r="AQ32" s="202">
        <f t="shared" si="8"/>
        <v>0</v>
      </c>
      <c r="AR32" s="196">
        <f t="shared" si="2"/>
        <v>4.656612873077393E-10</v>
      </c>
      <c r="AS32" s="197">
        <f t="shared" si="3"/>
        <v>0</v>
      </c>
      <c r="AT32" s="197">
        <f t="shared" si="4"/>
        <v>0</v>
      </c>
      <c r="AU32" s="197">
        <f t="shared" si="5"/>
        <v>0</v>
      </c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</row>
    <row r="33" spans="1:108" s="203" customFormat="1" ht="17.25" customHeight="1">
      <c r="A33" s="43">
        <f t="shared" si="18"/>
        <v>22</v>
      </c>
      <c r="B33" s="44" t="s">
        <v>85</v>
      </c>
      <c r="C33" s="200">
        <f>'Bieu 10'!C33+'Bieu 9'!C33</f>
        <v>40393880</v>
      </c>
      <c r="D33" s="200">
        <f>'Bieu 10'!D33+'Bieu 9'!D33</f>
        <v>4039388</v>
      </c>
      <c r="E33" s="200">
        <f>'Bieu 10'!E33+'Bieu 9'!E33</f>
        <v>0</v>
      </c>
      <c r="F33" s="200">
        <f>'Bieu 9'!F33+'Bieu 10'!F33</f>
        <v>2019694</v>
      </c>
      <c r="G33" s="200">
        <f>'Bieu 10'!G33+'Bieu 9'!G33</f>
        <v>34334798</v>
      </c>
      <c r="H33" s="200">
        <f>'Bieu 10'!H33+'Bieu 9'!H33</f>
        <v>0</v>
      </c>
      <c r="I33" s="200">
        <f>'Bieu 10'!I33+'Bieu 9'!I33</f>
        <v>6014968</v>
      </c>
      <c r="J33" s="200">
        <f>'Bieu 10'!J33+'Bieu 9'!J33</f>
        <v>0</v>
      </c>
      <c r="K33" s="200">
        <f>'Bieu 10'!K33+'Bieu 9'!K33</f>
        <v>0</v>
      </c>
      <c r="L33" s="200">
        <f>'Bieu 10'!L33+'Bieu 9'!L33</f>
        <v>0</v>
      </c>
      <c r="M33" s="200">
        <f>'Bieu 10'!M33+'Bieu 9'!M33</f>
        <v>6014968</v>
      </c>
      <c r="N33" s="200">
        <v>21666</v>
      </c>
      <c r="O33" s="200">
        <f>'Bieu 10'!O33+'Bieu 9'!O33</f>
        <v>6014968</v>
      </c>
      <c r="P33" s="200">
        <v>21666</v>
      </c>
      <c r="Q33" s="200">
        <v>5</v>
      </c>
      <c r="R33" s="200">
        <f>'Bieu 10'!R33+'Bieu 9'!R33</f>
        <v>0</v>
      </c>
      <c r="S33" s="200">
        <f>'Bieu 10'!S33+'Bieu 9'!S33</f>
        <v>0</v>
      </c>
      <c r="T33" s="200"/>
      <c r="U33" s="200">
        <f>'Bieu 10'!U33+'Bieu 9'!U33</f>
        <v>0</v>
      </c>
      <c r="V33" s="200"/>
      <c r="W33" s="200"/>
      <c r="X33" s="200">
        <f>'Bieu 10'!X33+'Bieu 9'!X33</f>
        <v>0</v>
      </c>
      <c r="Y33" s="200"/>
      <c r="Z33" s="200"/>
      <c r="AA33" s="200">
        <f>'Bieu 10'!AA33+'Bieu 9'!AA33</f>
        <v>0</v>
      </c>
      <c r="AB33" s="200"/>
      <c r="AC33" s="200"/>
      <c r="AD33" s="200">
        <f>'Bieu 10'!AD33+'Bieu 9'!AD33</f>
        <v>0</v>
      </c>
      <c r="AE33" s="200"/>
      <c r="AF33" s="200"/>
      <c r="AG33" s="200">
        <f>'Bieu 10'!AG33+'Bieu 9'!AG33</f>
        <v>0</v>
      </c>
      <c r="AH33" s="200"/>
      <c r="AI33" s="200"/>
      <c r="AJ33" s="200">
        <f t="shared" si="15"/>
        <v>34378912</v>
      </c>
      <c r="AK33" s="200">
        <f t="shared" si="9"/>
        <v>4039388</v>
      </c>
      <c r="AL33" s="200">
        <f t="shared" si="10"/>
        <v>0</v>
      </c>
      <c r="AM33" s="200">
        <f t="shared" si="11"/>
        <v>2019694</v>
      </c>
      <c r="AN33" s="200">
        <f t="shared" si="12"/>
        <v>28319830</v>
      </c>
      <c r="AO33" s="200">
        <f t="shared" si="13"/>
        <v>0</v>
      </c>
      <c r="AP33" s="201">
        <f t="shared" si="7"/>
        <v>0.17518576925951335</v>
      </c>
      <c r="AQ33" s="202">
        <f t="shared" si="8"/>
        <v>0.14890790387058633</v>
      </c>
      <c r="AR33" s="196">
        <f t="shared" si="2"/>
        <v>0</v>
      </c>
      <c r="AS33" s="197">
        <f t="shared" si="3"/>
        <v>0</v>
      </c>
      <c r="AT33" s="197">
        <f t="shared" si="4"/>
        <v>6014968</v>
      </c>
      <c r="AU33" s="197">
        <f t="shared" si="5"/>
        <v>0</v>
      </c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</row>
    <row r="34" spans="1:108" s="212" customFormat="1" ht="17.25" customHeight="1">
      <c r="A34" s="208">
        <f t="shared" si="18"/>
        <v>23</v>
      </c>
      <c r="B34" s="209" t="s">
        <v>86</v>
      </c>
      <c r="C34" s="210">
        <f>'Bieu 10'!C34+'Bieu 9'!C34</f>
        <v>1233591</v>
      </c>
      <c r="D34" s="210">
        <f>'Bieu 10'!D34+'Bieu 9'!D34</f>
        <v>123359</v>
      </c>
      <c r="E34" s="210">
        <f>'Bieu 10'!E34+'Bieu 9'!E34</f>
        <v>0</v>
      </c>
      <c r="F34" s="210">
        <f>'Bieu 9'!F34+'Bieu 10'!F34</f>
        <v>61679</v>
      </c>
      <c r="G34" s="210">
        <f>'Bieu 10'!G34+'Bieu 9'!G34</f>
        <v>1048553</v>
      </c>
      <c r="H34" s="210">
        <f>'Bieu 10'!H34+'Bieu 9'!H34</f>
        <v>0</v>
      </c>
      <c r="I34" s="210">
        <f>'Bieu 10'!I34+'Bieu 9'!I34</f>
        <v>1233591</v>
      </c>
      <c r="J34" s="210">
        <f>'Bieu 10'!J34+'Bieu 9'!J34</f>
        <v>123359</v>
      </c>
      <c r="K34" s="210">
        <f>'Bieu 10'!K34+'Bieu 9'!K34</f>
        <v>0</v>
      </c>
      <c r="L34" s="210">
        <f>'Bieu 10'!L34+'Bieu 9'!L34</f>
        <v>61679</v>
      </c>
      <c r="M34" s="210">
        <f>'Bieu 10'!M34+'Bieu 9'!M34</f>
        <v>1048553</v>
      </c>
      <c r="N34" s="210">
        <f>P34</f>
        <v>100792</v>
      </c>
      <c r="O34" s="210">
        <f>'Bieu 10'!O34+'Bieu 9'!O34</f>
        <v>1048553</v>
      </c>
      <c r="P34" s="210">
        <f>T34+V34</f>
        <v>100792</v>
      </c>
      <c r="Q34" s="210">
        <v>10</v>
      </c>
      <c r="R34" s="210">
        <f>'Bieu 10'!R34+'Bieu 9'!R34</f>
        <v>104855</v>
      </c>
      <c r="S34" s="210">
        <f>'Bieu 10'!S34+'Bieu 9'!S34</f>
        <v>874330</v>
      </c>
      <c r="T34" s="210">
        <v>82134</v>
      </c>
      <c r="U34" s="210">
        <f>'Bieu 10'!U34+'Bieu 9'!U34</f>
        <v>69368</v>
      </c>
      <c r="V34" s="210">
        <v>18658</v>
      </c>
      <c r="W34" s="210">
        <v>23</v>
      </c>
      <c r="X34" s="210">
        <f>'Bieu 10'!X34+'Bieu 9'!X34</f>
        <v>0</v>
      </c>
      <c r="Y34" s="210"/>
      <c r="Z34" s="210"/>
      <c r="AA34" s="210">
        <f>'Bieu 10'!AA34+'Bieu 9'!AA34</f>
        <v>0</v>
      </c>
      <c r="AB34" s="210"/>
      <c r="AC34" s="210"/>
      <c r="AD34" s="210">
        <f>'Bieu 10'!AD34+'Bieu 9'!AD34</f>
        <v>0</v>
      </c>
      <c r="AE34" s="210"/>
      <c r="AF34" s="210"/>
      <c r="AG34" s="210">
        <f>'Bieu 10'!AG34+'Bieu 9'!AG34</f>
        <v>0</v>
      </c>
      <c r="AH34" s="210"/>
      <c r="AI34" s="210"/>
      <c r="AJ34" s="210">
        <f t="shared" si="15"/>
        <v>0</v>
      </c>
      <c r="AK34" s="210">
        <f t="shared" si="9"/>
        <v>0</v>
      </c>
      <c r="AL34" s="210">
        <f t="shared" si="10"/>
        <v>0</v>
      </c>
      <c r="AM34" s="210">
        <f t="shared" si="11"/>
        <v>0</v>
      </c>
      <c r="AN34" s="210">
        <f t="shared" si="12"/>
        <v>0</v>
      </c>
      <c r="AO34" s="210">
        <f t="shared" si="13"/>
        <v>0</v>
      </c>
      <c r="AP34" s="236">
        <f t="shared" si="7"/>
        <v>1</v>
      </c>
      <c r="AQ34" s="202">
        <f t="shared" si="8"/>
        <v>1</v>
      </c>
      <c r="AR34" s="196">
        <f t="shared" si="2"/>
        <v>0</v>
      </c>
      <c r="AS34" s="197">
        <f t="shared" si="3"/>
        <v>0</v>
      </c>
      <c r="AT34" s="197">
        <f t="shared" si="4"/>
        <v>0</v>
      </c>
      <c r="AU34" s="197">
        <f t="shared" si="5"/>
        <v>0</v>
      </c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</row>
    <row r="35" spans="1:47" s="219" customFormat="1" ht="17.25" customHeight="1">
      <c r="A35" s="213" t="s">
        <v>117</v>
      </c>
      <c r="B35" s="214" t="s">
        <v>65</v>
      </c>
      <c r="C35" s="215">
        <f>SUM(C36:C40)</f>
        <v>981145626</v>
      </c>
      <c r="D35" s="215">
        <f aca="true" t="shared" si="19" ref="D35:AO35">SUM(D36:D40)</f>
        <v>90278863.86</v>
      </c>
      <c r="E35" s="215">
        <f t="shared" si="19"/>
        <v>12896557</v>
      </c>
      <c r="F35" s="215">
        <f t="shared" si="19"/>
        <v>45594510.35</v>
      </c>
      <c r="G35" s="215">
        <f t="shared" si="19"/>
        <v>797987872.79</v>
      </c>
      <c r="H35" s="215">
        <f t="shared" si="19"/>
        <v>34387822</v>
      </c>
      <c r="I35" s="215">
        <f t="shared" si="19"/>
        <v>768083796</v>
      </c>
      <c r="J35" s="215">
        <f t="shared" si="19"/>
        <v>61015521</v>
      </c>
      <c r="K35" s="215">
        <f t="shared" si="19"/>
        <v>14238857</v>
      </c>
      <c r="L35" s="215">
        <f t="shared" si="19"/>
        <v>16393037</v>
      </c>
      <c r="M35" s="215">
        <f t="shared" si="19"/>
        <v>676436381</v>
      </c>
      <c r="N35" s="215">
        <f t="shared" si="19"/>
        <v>1426125</v>
      </c>
      <c r="O35" s="215">
        <f t="shared" si="19"/>
        <v>620467653</v>
      </c>
      <c r="P35" s="215">
        <f t="shared" si="19"/>
        <v>1216475</v>
      </c>
      <c r="Q35" s="215">
        <f t="shared" si="19"/>
        <v>202</v>
      </c>
      <c r="R35" s="215">
        <f t="shared" si="19"/>
        <v>38992827</v>
      </c>
      <c r="S35" s="215">
        <f t="shared" si="19"/>
        <v>156665970</v>
      </c>
      <c r="T35" s="215">
        <f t="shared" si="19"/>
        <v>584521</v>
      </c>
      <c r="U35" s="215">
        <f t="shared" si="19"/>
        <v>286861739</v>
      </c>
      <c r="V35" s="215">
        <f t="shared" si="19"/>
        <v>515703</v>
      </c>
      <c r="W35" s="215">
        <f t="shared" si="19"/>
        <v>27432</v>
      </c>
      <c r="X35" s="215">
        <f t="shared" si="19"/>
        <v>24964624</v>
      </c>
      <c r="Y35" s="215">
        <f t="shared" si="19"/>
        <v>49739</v>
      </c>
      <c r="Z35" s="215">
        <f t="shared" si="19"/>
        <v>6338</v>
      </c>
      <c r="AA35" s="215">
        <f t="shared" si="19"/>
        <v>31004104</v>
      </c>
      <c r="AB35" s="215">
        <f t="shared" si="19"/>
        <v>160815</v>
      </c>
      <c r="AC35" s="215">
        <f t="shared" si="19"/>
        <v>123</v>
      </c>
      <c r="AD35" s="215">
        <f t="shared" si="19"/>
        <v>0</v>
      </c>
      <c r="AE35" s="215">
        <f t="shared" si="19"/>
        <v>0</v>
      </c>
      <c r="AF35" s="215">
        <f t="shared" si="19"/>
        <v>0</v>
      </c>
      <c r="AG35" s="215">
        <f t="shared" si="19"/>
        <v>0</v>
      </c>
      <c r="AH35" s="215">
        <f t="shared" si="19"/>
        <v>0</v>
      </c>
      <c r="AI35" s="215">
        <f t="shared" si="19"/>
        <v>0</v>
      </c>
      <c r="AJ35" s="215">
        <f t="shared" si="19"/>
        <v>213061829.99999997</v>
      </c>
      <c r="AK35" s="215">
        <f t="shared" si="19"/>
        <v>29263342.86</v>
      </c>
      <c r="AL35" s="215">
        <f t="shared" si="19"/>
        <v>-1342300</v>
      </c>
      <c r="AM35" s="215">
        <f t="shared" si="19"/>
        <v>29201473.35</v>
      </c>
      <c r="AN35" s="215">
        <f t="shared" si="19"/>
        <v>121551491.78999996</v>
      </c>
      <c r="AO35" s="215">
        <f t="shared" si="19"/>
        <v>34387822</v>
      </c>
      <c r="AP35" s="216">
        <f t="shared" si="7"/>
        <v>0.8476775200041321</v>
      </c>
      <c r="AQ35" s="232">
        <f t="shared" si="8"/>
        <v>0.7828438262843563</v>
      </c>
      <c r="AR35" s="196">
        <f t="shared" si="2"/>
        <v>0</v>
      </c>
      <c r="AS35" s="197">
        <f t="shared" si="3"/>
        <v>0</v>
      </c>
      <c r="AT35" s="197">
        <f t="shared" si="4"/>
        <v>137947117</v>
      </c>
      <c r="AU35" s="197">
        <f t="shared" si="5"/>
        <v>0</v>
      </c>
    </row>
    <row r="36" spans="1:108" s="224" customFormat="1" ht="17.25" customHeight="1">
      <c r="A36" s="220">
        <v>24</v>
      </c>
      <c r="B36" s="221" t="s">
        <v>87</v>
      </c>
      <c r="C36" s="222">
        <f>'Bieu 10'!C36+'Bieu 9'!C36</f>
        <v>307050105</v>
      </c>
      <c r="D36" s="222">
        <f>'Bieu 10'!D36+'Bieu 9'!D36</f>
        <v>24356881</v>
      </c>
      <c r="E36" s="222">
        <f>'Bieu 10'!E36+'Bieu 9'!E36</f>
        <v>11551557</v>
      </c>
      <c r="F36" s="222">
        <f>'Bieu 9'!F36+'Bieu 10'!F36</f>
        <v>13853621</v>
      </c>
      <c r="G36" s="222">
        <f>'Bieu 10'!G36+'Bieu 9'!G36</f>
        <v>223044599</v>
      </c>
      <c r="H36" s="222">
        <f>'Bieu 10'!H36+'Bieu 9'!H36</f>
        <v>34243447</v>
      </c>
      <c r="I36" s="222">
        <f>'Bieu 10'!I36+'Bieu 9'!I36</f>
        <v>176375891</v>
      </c>
      <c r="J36" s="222">
        <f>'Bieu 10'!J36+'Bieu 9'!J36</f>
        <v>13056821</v>
      </c>
      <c r="K36" s="222">
        <f>'Bieu 10'!K36+'Bieu 9'!K36</f>
        <v>11976495</v>
      </c>
      <c r="L36" s="222">
        <f>'Bieu 10'!L36+'Bieu 9'!L36</f>
        <v>0</v>
      </c>
      <c r="M36" s="222">
        <f>'Bieu 10'!M36+'Bieu 9'!M36</f>
        <v>151342575</v>
      </c>
      <c r="N36" s="222">
        <v>259120</v>
      </c>
      <c r="O36" s="222">
        <f>'Bieu 10'!O36+'Bieu 9'!O36</f>
        <v>137947117</v>
      </c>
      <c r="P36" s="222">
        <v>231889</v>
      </c>
      <c r="Q36" s="222">
        <v>19</v>
      </c>
      <c r="R36" s="222">
        <f>'Bieu 10'!R36+'Bieu 9'!R36</f>
        <v>0</v>
      </c>
      <c r="S36" s="222">
        <f>'Bieu 10'!S36+'Bieu 9'!S36</f>
        <v>0</v>
      </c>
      <c r="T36" s="222"/>
      <c r="U36" s="222">
        <f>'Bieu 10'!U36+'Bieu 9'!U36</f>
        <v>0</v>
      </c>
      <c r="V36" s="222"/>
      <c r="W36" s="222">
        <v>5049</v>
      </c>
      <c r="X36" s="222">
        <f>'Bieu 10'!X36+'Bieu 9'!X36</f>
        <v>13395458</v>
      </c>
      <c r="Y36" s="222">
        <v>27221</v>
      </c>
      <c r="Z36" s="222">
        <v>2149</v>
      </c>
      <c r="AA36" s="222">
        <f>'Bieu 10'!AA36+'Bieu 9'!AA36</f>
        <v>0</v>
      </c>
      <c r="AB36" s="222"/>
      <c r="AC36" s="222"/>
      <c r="AD36" s="222">
        <f>'Bieu 10'!AD36+'Bieu 9'!AD36</f>
        <v>0</v>
      </c>
      <c r="AE36" s="222"/>
      <c r="AF36" s="222"/>
      <c r="AG36" s="222">
        <f>'Bieu 10'!AG36+'Bieu 9'!AG36</f>
        <v>0</v>
      </c>
      <c r="AH36" s="222"/>
      <c r="AI36" s="222"/>
      <c r="AJ36" s="222">
        <f t="shared" si="15"/>
        <v>130674214</v>
      </c>
      <c r="AK36" s="222">
        <f t="shared" si="9"/>
        <v>11300060</v>
      </c>
      <c r="AL36" s="222">
        <f t="shared" si="10"/>
        <v>-424938</v>
      </c>
      <c r="AM36" s="222">
        <f t="shared" si="11"/>
        <v>13853621</v>
      </c>
      <c r="AN36" s="222">
        <f t="shared" si="12"/>
        <v>71702024</v>
      </c>
      <c r="AO36" s="222">
        <f t="shared" si="13"/>
        <v>34243447</v>
      </c>
      <c r="AP36" s="223">
        <f t="shared" si="7"/>
        <v>0.6785305525376115</v>
      </c>
      <c r="AQ36" s="202">
        <f t="shared" si="8"/>
        <v>0.5744205526326069</v>
      </c>
      <c r="AR36" s="196">
        <f t="shared" si="2"/>
        <v>0</v>
      </c>
      <c r="AS36" s="197">
        <f t="shared" si="3"/>
        <v>0</v>
      </c>
      <c r="AT36" s="197">
        <f>O36-R36-S36-U36</f>
        <v>137947117</v>
      </c>
      <c r="AU36" s="197">
        <f t="shared" si="5"/>
        <v>0</v>
      </c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</row>
    <row r="37" spans="1:108" s="203" customFormat="1" ht="17.25" customHeight="1">
      <c r="A37" s="43">
        <f>A36+1</f>
        <v>25</v>
      </c>
      <c r="B37" s="44" t="s">
        <v>88</v>
      </c>
      <c r="C37" s="200">
        <f>'Bieu 10'!C37+'Bieu 9'!C37</f>
        <v>59400760</v>
      </c>
      <c r="D37" s="200">
        <f>'Bieu 10'!D37+'Bieu 9'!D37</f>
        <v>5971996</v>
      </c>
      <c r="E37" s="200">
        <f>'Bieu 10'!E37+'Bieu 9'!E37</f>
        <v>0</v>
      </c>
      <c r="F37" s="200">
        <f>'Bieu 9'!F37+'Bieu 10'!F37</f>
        <v>2976503</v>
      </c>
      <c r="G37" s="200">
        <f>'Bieu 10'!G37+'Bieu 9'!G37</f>
        <v>50452261</v>
      </c>
      <c r="H37" s="200">
        <f>'Bieu 10'!H37+'Bieu 9'!H37</f>
        <v>0</v>
      </c>
      <c r="I37" s="200">
        <f>'Bieu 10'!I37+'Bieu 9'!I37</f>
        <v>55357100</v>
      </c>
      <c r="J37" s="200">
        <f>'Bieu 10'!J37+'Bieu 9'!J37</f>
        <v>6024600</v>
      </c>
      <c r="K37" s="200">
        <f>'Bieu 10'!K37+'Bieu 9'!K37</f>
        <v>0</v>
      </c>
      <c r="L37" s="200">
        <f>'Bieu 10'!L37+'Bieu 9'!L37</f>
        <v>0</v>
      </c>
      <c r="M37" s="200">
        <f>'Bieu 10'!M37+'Bieu 9'!M37</f>
        <v>49332500</v>
      </c>
      <c r="N37" s="200">
        <v>222241</v>
      </c>
      <c r="O37" s="200">
        <f>'Bieu 10'!O37+'Bieu 9'!O37</f>
        <v>46322400</v>
      </c>
      <c r="P37" s="200">
        <v>205294</v>
      </c>
      <c r="Q37" s="200">
        <v>22</v>
      </c>
      <c r="R37" s="200">
        <f>'Bieu 10'!R37+'Bieu 9'!R37</f>
        <v>5045540</v>
      </c>
      <c r="S37" s="200">
        <f>'Bieu 10'!S37+'Bieu 9'!S37</f>
        <v>33540220</v>
      </c>
      <c r="T37" s="200">
        <v>202889</v>
      </c>
      <c r="U37" s="200">
        <f>'Bieu 10'!U37+'Bieu 9'!U37</f>
        <v>7736640</v>
      </c>
      <c r="V37" s="200">
        <v>92831</v>
      </c>
      <c r="W37" s="200">
        <v>3205</v>
      </c>
      <c r="X37" s="200">
        <f>'Bieu 10'!X37+'Bieu 9'!X37</f>
        <v>1014180</v>
      </c>
      <c r="Y37" s="200">
        <v>7766</v>
      </c>
      <c r="Z37" s="200">
        <v>1985</v>
      </c>
      <c r="AA37" s="200">
        <f>'Bieu 10'!AA37+'Bieu 9'!AA37</f>
        <v>1995920</v>
      </c>
      <c r="AB37" s="200">
        <v>9181</v>
      </c>
      <c r="AC37" s="200">
        <v>6</v>
      </c>
      <c r="AD37" s="200">
        <f>'Bieu 10'!AD37+'Bieu 9'!AD37</f>
        <v>0</v>
      </c>
      <c r="AE37" s="200"/>
      <c r="AF37" s="200"/>
      <c r="AG37" s="200">
        <f>'Bieu 10'!AG37+'Bieu 9'!AG37</f>
        <v>0</v>
      </c>
      <c r="AH37" s="200"/>
      <c r="AI37" s="200"/>
      <c r="AJ37" s="200">
        <f t="shared" si="15"/>
        <v>4043660</v>
      </c>
      <c r="AK37" s="200">
        <f t="shared" si="9"/>
        <v>-52604</v>
      </c>
      <c r="AL37" s="200">
        <f t="shared" si="10"/>
        <v>0</v>
      </c>
      <c r="AM37" s="200">
        <f t="shared" si="11"/>
        <v>2976503</v>
      </c>
      <c r="AN37" s="200">
        <f t="shared" si="12"/>
        <v>1119761</v>
      </c>
      <c r="AO37" s="200">
        <f t="shared" si="13"/>
        <v>0</v>
      </c>
      <c r="AP37" s="201">
        <f t="shared" si="7"/>
        <v>0.9778055338292966</v>
      </c>
      <c r="AQ37" s="202">
        <f t="shared" si="8"/>
        <v>0.9319257868081149</v>
      </c>
      <c r="AR37" s="196">
        <f t="shared" si="2"/>
        <v>0</v>
      </c>
      <c r="AS37" s="197">
        <f t="shared" si="3"/>
        <v>0</v>
      </c>
      <c r="AT37" s="197">
        <f t="shared" si="4"/>
        <v>0</v>
      </c>
      <c r="AU37" s="197">
        <f t="shared" si="5"/>
        <v>0</v>
      </c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</row>
    <row r="38" spans="1:108" s="203" customFormat="1" ht="17.25" customHeight="1">
      <c r="A38" s="43">
        <f>A37+1</f>
        <v>26</v>
      </c>
      <c r="B38" s="44" t="s">
        <v>89</v>
      </c>
      <c r="C38" s="200">
        <f>'Bieu 10'!C38+'Bieu 9'!C38</f>
        <v>100494263</v>
      </c>
      <c r="D38" s="200">
        <f>'Bieu 10'!D38+'Bieu 9'!D38</f>
        <v>10641741</v>
      </c>
      <c r="E38" s="200">
        <f>'Bieu 10'!E38+'Bieu 9'!E38</f>
        <v>0</v>
      </c>
      <c r="F38" s="200">
        <f>'Bieu 9'!F38+'Bieu 10'!F38</f>
        <v>3061580</v>
      </c>
      <c r="G38" s="200">
        <f>'Bieu 10'!G38+'Bieu 9'!G38</f>
        <v>86790942</v>
      </c>
      <c r="H38" s="200">
        <f>'Bieu 10'!H38+'Bieu 9'!H38</f>
        <v>0</v>
      </c>
      <c r="I38" s="200">
        <f>'Bieu 10'!I38+'Bieu 9'!I38</f>
        <v>97432683</v>
      </c>
      <c r="J38" s="200">
        <f>'Bieu 10'!J38+'Bieu 9'!J38</f>
        <v>10641741</v>
      </c>
      <c r="K38" s="200">
        <f>'Bieu 10'!K38+'Bieu 9'!K38</f>
        <v>0</v>
      </c>
      <c r="L38" s="200">
        <f>'Bieu 10'!L38+'Bieu 9'!L38</f>
        <v>0</v>
      </c>
      <c r="M38" s="200">
        <f>'Bieu 10'!M38+'Bieu 9'!M38</f>
        <v>86790942</v>
      </c>
      <c r="N38" s="200">
        <v>161860</v>
      </c>
      <c r="O38" s="200">
        <f>'Bieu 10'!O38+'Bieu 9'!O38</f>
        <v>82953386</v>
      </c>
      <c r="P38" s="200">
        <v>158928</v>
      </c>
      <c r="Q38" s="200">
        <v>68</v>
      </c>
      <c r="R38" s="200">
        <f>'Bieu 10'!R38+'Bieu 9'!R38</f>
        <v>1913002</v>
      </c>
      <c r="S38" s="200">
        <f>'Bieu 10'!S38+'Bieu 9'!S38</f>
        <v>63823361</v>
      </c>
      <c r="T38" s="200">
        <v>125375</v>
      </c>
      <c r="U38" s="200">
        <f>'Bieu 10'!U38+'Bieu 9'!U38</f>
        <v>17217023</v>
      </c>
      <c r="V38" s="200">
        <v>34505</v>
      </c>
      <c r="W38" s="200">
        <v>1052</v>
      </c>
      <c r="X38" s="200">
        <f>'Bieu 10'!X38+'Bieu 9'!X38</f>
        <v>2783988</v>
      </c>
      <c r="Y38" s="200">
        <v>2450</v>
      </c>
      <c r="Z38" s="200">
        <v>112</v>
      </c>
      <c r="AA38" s="200">
        <f>'Bieu 10'!AA38+'Bieu 9'!AA38</f>
        <v>1053568</v>
      </c>
      <c r="AB38" s="200">
        <v>1396</v>
      </c>
      <c r="AC38" s="200">
        <v>27</v>
      </c>
      <c r="AD38" s="200">
        <f>'Bieu 10'!AD38+'Bieu 9'!AD38</f>
        <v>0</v>
      </c>
      <c r="AE38" s="200"/>
      <c r="AF38" s="200"/>
      <c r="AG38" s="200">
        <f>'Bieu 10'!AG38+'Bieu 9'!AG38</f>
        <v>0</v>
      </c>
      <c r="AH38" s="200"/>
      <c r="AI38" s="200"/>
      <c r="AJ38" s="200">
        <f t="shared" si="15"/>
        <v>3061580</v>
      </c>
      <c r="AK38" s="200">
        <f t="shared" si="9"/>
        <v>0</v>
      </c>
      <c r="AL38" s="200">
        <f t="shared" si="10"/>
        <v>0</v>
      </c>
      <c r="AM38" s="200">
        <f t="shared" si="11"/>
        <v>3061580</v>
      </c>
      <c r="AN38" s="200">
        <f t="shared" si="12"/>
        <v>0</v>
      </c>
      <c r="AO38" s="200">
        <f t="shared" si="13"/>
        <v>0</v>
      </c>
      <c r="AP38" s="201">
        <f t="shared" si="7"/>
        <v>1</v>
      </c>
      <c r="AQ38" s="202">
        <f t="shared" si="8"/>
        <v>0.969534778318639</v>
      </c>
      <c r="AR38" s="196">
        <f t="shared" si="2"/>
        <v>0</v>
      </c>
      <c r="AS38" s="197">
        <f t="shared" si="3"/>
        <v>0</v>
      </c>
      <c r="AT38" s="197">
        <f t="shared" si="4"/>
        <v>0</v>
      </c>
      <c r="AU38" s="197">
        <f t="shared" si="5"/>
        <v>0</v>
      </c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</row>
    <row r="39" spans="1:108" s="203" customFormat="1" ht="17.25" customHeight="1">
      <c r="A39" s="43">
        <f>A38+1</f>
        <v>27</v>
      </c>
      <c r="B39" s="44" t="s">
        <v>90</v>
      </c>
      <c r="C39" s="200">
        <f>'Bieu 10'!C39+'Bieu 9'!C39</f>
        <v>133504751</v>
      </c>
      <c r="D39" s="200">
        <f>'Bieu 10'!D39+'Bieu 9'!D39</f>
        <v>13336038</v>
      </c>
      <c r="E39" s="200">
        <f>'Bieu 10'!E39+'Bieu 9'!E39</f>
        <v>0</v>
      </c>
      <c r="F39" s="200">
        <f>'Bieu 9'!F39+'Bieu 10'!F39</f>
        <v>6668019</v>
      </c>
      <c r="G39" s="200">
        <f>'Bieu 10'!G39+'Bieu 9'!G39</f>
        <v>113356319</v>
      </c>
      <c r="H39" s="200">
        <f>'Bieu 10'!H39+'Bieu 9'!H39</f>
        <v>144375</v>
      </c>
      <c r="I39" s="200">
        <f>'Bieu 10'!I39+'Bieu 9'!I39</f>
        <v>107250699</v>
      </c>
      <c r="J39" s="200">
        <f>'Bieu 10'!J39+'Bieu 9'!J39</f>
        <v>4081429</v>
      </c>
      <c r="K39" s="200">
        <f>'Bieu 10'!K39+'Bieu 9'!K39</f>
        <v>0</v>
      </c>
      <c r="L39" s="200">
        <f>'Bieu 10'!L39+'Bieu 9'!L39</f>
        <v>4025471</v>
      </c>
      <c r="M39" s="200">
        <f>'Bieu 10'!M39+'Bieu 9'!M39</f>
        <v>99143799</v>
      </c>
      <c r="N39" s="200">
        <v>449025</v>
      </c>
      <c r="O39" s="200">
        <f>'Bieu 10'!O39+'Bieu 9'!O39</f>
        <v>70737747</v>
      </c>
      <c r="P39" s="200">
        <v>295630</v>
      </c>
      <c r="Q39" s="200">
        <v>37</v>
      </c>
      <c r="R39" s="200">
        <f>'Bieu 10'!R39+'Bieu 9'!R39</f>
        <v>7073775</v>
      </c>
      <c r="S39" s="200">
        <f>'Bieu 10'!S39+'Bieu 9'!S39</f>
        <v>59302389</v>
      </c>
      <c r="T39" s="200">
        <v>256257</v>
      </c>
      <c r="U39" s="200">
        <f>'Bieu 10'!U39+'Bieu 9'!U39</f>
        <v>4361583</v>
      </c>
      <c r="V39" s="200">
        <v>63633</v>
      </c>
      <c r="W39" s="200">
        <v>3712</v>
      </c>
      <c r="X39" s="200">
        <f>'Bieu 10'!X39+'Bieu 9'!X39</f>
        <v>451436</v>
      </c>
      <c r="Y39" s="200">
        <v>3157</v>
      </c>
      <c r="Z39" s="200">
        <v>7</v>
      </c>
      <c r="AA39" s="200">
        <f>'Bieu 10'!AA39+'Bieu 9'!AA39</f>
        <v>27954616</v>
      </c>
      <c r="AB39" s="200">
        <v>150238</v>
      </c>
      <c r="AC39" s="200">
        <v>90</v>
      </c>
      <c r="AD39" s="200">
        <f>'Bieu 10'!AD39+'Bieu 9'!AD39</f>
        <v>0</v>
      </c>
      <c r="AE39" s="200"/>
      <c r="AF39" s="200"/>
      <c r="AG39" s="200">
        <f>'Bieu 10'!AG39+'Bieu 9'!AG39</f>
        <v>0</v>
      </c>
      <c r="AH39" s="200"/>
      <c r="AI39" s="200"/>
      <c r="AJ39" s="200">
        <f t="shared" si="15"/>
        <v>26254052</v>
      </c>
      <c r="AK39" s="200">
        <f t="shared" si="9"/>
        <v>9254609</v>
      </c>
      <c r="AL39" s="200">
        <f t="shared" si="10"/>
        <v>0</v>
      </c>
      <c r="AM39" s="200">
        <f t="shared" si="11"/>
        <v>2642548</v>
      </c>
      <c r="AN39" s="200">
        <f t="shared" si="12"/>
        <v>14212520</v>
      </c>
      <c r="AO39" s="200">
        <f t="shared" si="13"/>
        <v>144375</v>
      </c>
      <c r="AP39" s="201">
        <f t="shared" si="7"/>
        <v>0.8746208405020632</v>
      </c>
      <c r="AQ39" s="202">
        <f t="shared" si="8"/>
        <v>0.8033474329314317</v>
      </c>
      <c r="AR39" s="196">
        <f t="shared" si="2"/>
        <v>0</v>
      </c>
      <c r="AS39" s="197">
        <f t="shared" si="3"/>
        <v>0</v>
      </c>
      <c r="AT39" s="197">
        <f t="shared" si="4"/>
        <v>0</v>
      </c>
      <c r="AU39" s="197">
        <f t="shared" si="5"/>
        <v>0</v>
      </c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</row>
    <row r="40" spans="1:108" s="227" customFormat="1" ht="17.25" customHeight="1">
      <c r="A40" s="76">
        <f>A39+1</f>
        <v>28</v>
      </c>
      <c r="B40" s="77" t="s">
        <v>91</v>
      </c>
      <c r="C40" s="225">
        <f>'Bieu 10'!C40+'Bieu 9'!C40</f>
        <v>380695747</v>
      </c>
      <c r="D40" s="225">
        <f>'Bieu 10'!D40+'Bieu 9'!D40</f>
        <v>35972207.86</v>
      </c>
      <c r="E40" s="225">
        <f>'Bieu 10'!E40+'Bieu 9'!E40</f>
        <v>1345000</v>
      </c>
      <c r="F40" s="225">
        <f>'Bieu 9'!F40+'Bieu 10'!F40</f>
        <v>19034787.35</v>
      </c>
      <c r="G40" s="225">
        <f>'Bieu 10'!G40+'Bieu 9'!G40</f>
        <v>324343751.78999996</v>
      </c>
      <c r="H40" s="225">
        <f>'Bieu 10'!H40+'Bieu 9'!H40</f>
        <v>0</v>
      </c>
      <c r="I40" s="225">
        <f>'Bieu 10'!I40+'Bieu 9'!I40</f>
        <v>331667423</v>
      </c>
      <c r="J40" s="225">
        <f>'Bieu 10'!J40+'Bieu 9'!J40</f>
        <v>27210930</v>
      </c>
      <c r="K40" s="225">
        <f>'Bieu 10'!K40+'Bieu 9'!K40</f>
        <v>2262362</v>
      </c>
      <c r="L40" s="225">
        <f>'Bieu 10'!L40+'Bieu 9'!L40</f>
        <v>12367566</v>
      </c>
      <c r="M40" s="225">
        <f>'Bieu 10'!M40+'Bieu 9'!M40</f>
        <v>289826565</v>
      </c>
      <c r="N40" s="225">
        <v>333879</v>
      </c>
      <c r="O40" s="225">
        <f>'Bieu 10'!O40+'Bieu 9'!O40</f>
        <v>282507003</v>
      </c>
      <c r="P40" s="225">
        <v>324734</v>
      </c>
      <c r="Q40" s="225">
        <v>56</v>
      </c>
      <c r="R40" s="225">
        <f>'Bieu 10'!R40+'Bieu 9'!R40</f>
        <v>24960510</v>
      </c>
      <c r="S40" s="225">
        <f>'Bieu 10'!S40+'Bieu 9'!S40</f>
        <v>0</v>
      </c>
      <c r="T40" s="225"/>
      <c r="U40" s="225">
        <f>'Bieu 10'!U40+'Bieu 9'!U40</f>
        <v>257546493</v>
      </c>
      <c r="V40" s="225">
        <v>324734</v>
      </c>
      <c r="W40" s="553">
        <v>14414</v>
      </c>
      <c r="X40" s="225">
        <f>'Bieu 10'!X40+'Bieu 9'!X40</f>
        <v>7319562</v>
      </c>
      <c r="Y40" s="225">
        <v>9145</v>
      </c>
      <c r="Z40" s="225">
        <v>2085</v>
      </c>
      <c r="AA40" s="225">
        <f>'Bieu 10'!AA40+'Bieu 9'!AA40</f>
        <v>0</v>
      </c>
      <c r="AB40" s="225"/>
      <c r="AC40" s="225"/>
      <c r="AD40" s="225">
        <f>'Bieu 10'!AD40+'Bieu 9'!AD40</f>
        <v>0</v>
      </c>
      <c r="AE40" s="225"/>
      <c r="AF40" s="225"/>
      <c r="AG40" s="225">
        <f>'Bieu 10'!AG40+'Bieu 9'!AG40</f>
        <v>0</v>
      </c>
      <c r="AH40" s="225"/>
      <c r="AI40" s="225"/>
      <c r="AJ40" s="225">
        <f t="shared" si="15"/>
        <v>49028323.99999996</v>
      </c>
      <c r="AK40" s="225">
        <f t="shared" si="9"/>
        <v>8761277.86</v>
      </c>
      <c r="AL40" s="225">
        <f t="shared" si="10"/>
        <v>-917362</v>
      </c>
      <c r="AM40" s="225">
        <f t="shared" si="11"/>
        <v>6667221.3500000015</v>
      </c>
      <c r="AN40" s="225">
        <f t="shared" si="12"/>
        <v>34517186.78999996</v>
      </c>
      <c r="AO40" s="225">
        <f t="shared" si="13"/>
        <v>0</v>
      </c>
      <c r="AP40" s="226">
        <f t="shared" si="7"/>
        <v>0.8935783821963418</v>
      </c>
      <c r="AQ40" s="202">
        <f t="shared" si="8"/>
        <v>0.8712138909185134</v>
      </c>
      <c r="AR40" s="196">
        <f t="shared" si="2"/>
        <v>0</v>
      </c>
      <c r="AS40" s="197">
        <f t="shared" si="3"/>
        <v>0</v>
      </c>
      <c r="AT40" s="197">
        <f t="shared" si="4"/>
        <v>0</v>
      </c>
      <c r="AU40" s="197">
        <f t="shared" si="5"/>
        <v>0</v>
      </c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</row>
    <row r="41" spans="1:108" s="234" customFormat="1" ht="17.25" customHeight="1">
      <c r="A41" s="228" t="s">
        <v>118</v>
      </c>
      <c r="B41" s="229" t="s">
        <v>66</v>
      </c>
      <c r="C41" s="230">
        <f aca="true" t="shared" si="20" ref="C41:AO41">SUM(C42:C43)</f>
        <v>30220985</v>
      </c>
      <c r="D41" s="230">
        <f t="shared" si="20"/>
        <v>4268072</v>
      </c>
      <c r="E41" s="230">
        <f t="shared" si="20"/>
        <v>0</v>
      </c>
      <c r="F41" s="230">
        <f t="shared" si="20"/>
        <v>1050000</v>
      </c>
      <c r="G41" s="230">
        <f t="shared" si="20"/>
        <v>25787070</v>
      </c>
      <c r="H41" s="230">
        <f t="shared" si="20"/>
        <v>-884157</v>
      </c>
      <c r="I41" s="230">
        <f t="shared" si="20"/>
        <v>24680727</v>
      </c>
      <c r="J41" s="230">
        <f t="shared" si="20"/>
        <v>2083713</v>
      </c>
      <c r="K41" s="230">
        <f t="shared" si="20"/>
        <v>1062999</v>
      </c>
      <c r="L41" s="230">
        <f t="shared" si="20"/>
        <v>0</v>
      </c>
      <c r="M41" s="230">
        <f t="shared" si="20"/>
        <v>21534015</v>
      </c>
      <c r="N41" s="230">
        <f t="shared" si="20"/>
        <v>180486</v>
      </c>
      <c r="O41" s="230">
        <f t="shared" si="20"/>
        <v>21534015</v>
      </c>
      <c r="P41" s="230">
        <f t="shared" si="20"/>
        <v>42516</v>
      </c>
      <c r="Q41" s="230">
        <f t="shared" si="20"/>
        <v>15</v>
      </c>
      <c r="R41" s="230">
        <f t="shared" si="20"/>
        <v>1359695</v>
      </c>
      <c r="S41" s="230">
        <f t="shared" si="20"/>
        <v>10230285</v>
      </c>
      <c r="T41" s="230">
        <f t="shared" si="20"/>
        <v>106108</v>
      </c>
      <c r="U41" s="230">
        <f t="shared" si="20"/>
        <v>2006965</v>
      </c>
      <c r="V41" s="230">
        <f t="shared" si="20"/>
        <v>31862</v>
      </c>
      <c r="W41" s="230">
        <f t="shared" si="20"/>
        <v>3572</v>
      </c>
      <c r="X41" s="230">
        <f t="shared" si="20"/>
        <v>0</v>
      </c>
      <c r="Y41" s="230">
        <f t="shared" si="20"/>
        <v>0</v>
      </c>
      <c r="Z41" s="230">
        <f t="shared" si="20"/>
        <v>0</v>
      </c>
      <c r="AA41" s="230">
        <f t="shared" si="20"/>
        <v>0</v>
      </c>
      <c r="AB41" s="230">
        <f t="shared" si="20"/>
        <v>0</v>
      </c>
      <c r="AC41" s="230">
        <f t="shared" si="20"/>
        <v>0</v>
      </c>
      <c r="AD41" s="230">
        <f t="shared" si="20"/>
        <v>0</v>
      </c>
      <c r="AE41" s="230">
        <f t="shared" si="20"/>
        <v>0</v>
      </c>
      <c r="AF41" s="230">
        <f t="shared" si="20"/>
        <v>0</v>
      </c>
      <c r="AG41" s="230">
        <f t="shared" si="20"/>
        <v>0</v>
      </c>
      <c r="AH41" s="230">
        <f t="shared" si="20"/>
        <v>0</v>
      </c>
      <c r="AI41" s="230">
        <f t="shared" si="20"/>
        <v>0</v>
      </c>
      <c r="AJ41" s="230">
        <f t="shared" si="20"/>
        <v>5540258</v>
      </c>
      <c r="AK41" s="230">
        <f t="shared" si="20"/>
        <v>2184359</v>
      </c>
      <c r="AL41" s="230">
        <f t="shared" si="20"/>
        <v>-1062999</v>
      </c>
      <c r="AM41" s="230">
        <f t="shared" si="20"/>
        <v>1050000</v>
      </c>
      <c r="AN41" s="230">
        <f t="shared" si="20"/>
        <v>4253055</v>
      </c>
      <c r="AO41" s="230">
        <f t="shared" si="20"/>
        <v>-884157</v>
      </c>
      <c r="AP41" s="230">
        <f t="shared" si="7"/>
        <v>0.8350702503231271</v>
      </c>
      <c r="AQ41" s="237">
        <f t="shared" si="8"/>
        <v>0.8166751348442151</v>
      </c>
      <c r="AR41" s="196">
        <f t="shared" si="2"/>
        <v>0</v>
      </c>
      <c r="AS41" s="197">
        <f t="shared" si="3"/>
        <v>0</v>
      </c>
      <c r="AT41" s="197">
        <f t="shared" si="4"/>
        <v>7937070</v>
      </c>
      <c r="AU41" s="197">
        <f t="shared" si="5"/>
        <v>0</v>
      </c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s="199" customFormat="1" ht="17.25" customHeight="1">
      <c r="A42" s="41">
        <v>29</v>
      </c>
      <c r="B42" s="42" t="s">
        <v>92</v>
      </c>
      <c r="C42" s="193">
        <f>'Bieu 10'!C42+'Bieu 9'!C42</f>
        <v>12220985</v>
      </c>
      <c r="D42" s="193">
        <f>'Bieu 10'!D42+'Bieu 9'!D42</f>
        <v>2468072</v>
      </c>
      <c r="E42" s="193">
        <f>'Bieu 10'!E42+'Bieu 9'!E42</f>
        <v>0</v>
      </c>
      <c r="F42" s="193">
        <f>'Bieu 9'!F42+'Bieu 10'!F42</f>
        <v>150000</v>
      </c>
      <c r="G42" s="193">
        <f>'Bieu 10'!G42+'Bieu 9'!G42</f>
        <v>10487070</v>
      </c>
      <c r="H42" s="193">
        <f>'Bieu 10'!H42+'Bieu 9'!H42</f>
        <v>-884157</v>
      </c>
      <c r="I42" s="193">
        <f>'Bieu 10'!I42+'Bieu 9'!I42</f>
        <v>10105142</v>
      </c>
      <c r="J42" s="193">
        <f>'Bieu 10'!J42+'Bieu 9'!J42</f>
        <v>1105073</v>
      </c>
      <c r="K42" s="193">
        <f>'Bieu 10'!K42+'Bieu 9'!K42</f>
        <v>1062999</v>
      </c>
      <c r="L42" s="193">
        <f>'Bieu 10'!L42+'Bieu 9'!L42</f>
        <v>0</v>
      </c>
      <c r="M42" s="238">
        <f>'Bieu 10'!M42+'Bieu 9'!M42</f>
        <v>7937070</v>
      </c>
      <c r="N42" s="193">
        <v>42516</v>
      </c>
      <c r="O42" s="193">
        <f>'Bieu 10'!O42+'Bieu 9'!O42</f>
        <v>7937070</v>
      </c>
      <c r="P42" s="193">
        <v>42516</v>
      </c>
      <c r="Q42" s="193">
        <v>5</v>
      </c>
      <c r="R42" s="193">
        <f>'Bieu 10'!R42+'Bieu 9'!R42</f>
        <v>0</v>
      </c>
      <c r="S42" s="193">
        <f>'Bieu 10'!S42+'Bieu 9'!S42</f>
        <v>0</v>
      </c>
      <c r="T42" s="193"/>
      <c r="U42" s="193">
        <f>'Bieu 10'!U42+'Bieu 9'!U42</f>
        <v>0</v>
      </c>
      <c r="V42" s="193"/>
      <c r="W42" s="193">
        <v>16</v>
      </c>
      <c r="X42" s="193">
        <f>'Bieu 10'!X42+'Bieu 9'!X42</f>
        <v>0</v>
      </c>
      <c r="Y42" s="193"/>
      <c r="Z42" s="193"/>
      <c r="AA42" s="193">
        <f>'Bieu 10'!AA42+'Bieu 9'!AA42</f>
        <v>0</v>
      </c>
      <c r="AB42" s="193"/>
      <c r="AC42" s="193"/>
      <c r="AD42" s="193">
        <f>'Bieu 10'!AD42+'Bieu 9'!AD42</f>
        <v>0</v>
      </c>
      <c r="AE42" s="193"/>
      <c r="AF42" s="193"/>
      <c r="AG42" s="193">
        <f>'Bieu 10'!AG42+'Bieu 9'!AG42</f>
        <v>0</v>
      </c>
      <c r="AH42" s="193"/>
      <c r="AI42" s="193"/>
      <c r="AJ42" s="193">
        <f t="shared" si="15"/>
        <v>2115843</v>
      </c>
      <c r="AK42" s="193">
        <f t="shared" si="9"/>
        <v>1362999</v>
      </c>
      <c r="AL42" s="193">
        <f t="shared" si="10"/>
        <v>-1062999</v>
      </c>
      <c r="AM42" s="193">
        <f t="shared" si="11"/>
        <v>150000</v>
      </c>
      <c r="AN42" s="193">
        <f t="shared" si="12"/>
        <v>2550000</v>
      </c>
      <c r="AO42" s="193">
        <f t="shared" si="13"/>
        <v>-884157</v>
      </c>
      <c r="AP42" s="235">
        <f t="shared" si="7"/>
        <v>0.7568434271917704</v>
      </c>
      <c r="AQ42" s="202">
        <f t="shared" si="8"/>
        <v>0.8268680470518538</v>
      </c>
      <c r="AR42" s="196">
        <f t="shared" si="2"/>
        <v>0</v>
      </c>
      <c r="AS42" s="197">
        <f t="shared" si="3"/>
        <v>0</v>
      </c>
      <c r="AT42" s="197">
        <f t="shared" si="4"/>
        <v>7937070</v>
      </c>
      <c r="AU42" s="197">
        <f t="shared" si="5"/>
        <v>0</v>
      </c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</row>
    <row r="43" spans="1:108" s="203" customFormat="1" ht="17.25" customHeight="1">
      <c r="A43" s="43">
        <v>30</v>
      </c>
      <c r="B43" s="44" t="s">
        <v>93</v>
      </c>
      <c r="C43" s="200">
        <f>'Bieu 10'!C43+'Bieu 9'!C43</f>
        <v>18000000</v>
      </c>
      <c r="D43" s="200">
        <f>'Bieu 10'!D43+'Bieu 9'!D43</f>
        <v>1800000</v>
      </c>
      <c r="E43" s="200">
        <f>'Bieu 10'!E43+'Bieu 9'!E43</f>
        <v>0</v>
      </c>
      <c r="F43" s="200">
        <f>'Bieu 9'!F43+'Bieu 10'!F43</f>
        <v>900000</v>
      </c>
      <c r="G43" s="200">
        <f>'Bieu 10'!G43+'Bieu 9'!G43</f>
        <v>15300000</v>
      </c>
      <c r="H43" s="200">
        <f>'Bieu 10'!H43+'Bieu 9'!H43</f>
        <v>0</v>
      </c>
      <c r="I43" s="200">
        <f>'Bieu 10'!I43+'Bieu 9'!I43</f>
        <v>14575585</v>
      </c>
      <c r="J43" s="200">
        <f>'Bieu 10'!J43+'Bieu 9'!J43</f>
        <v>978640</v>
      </c>
      <c r="K43" s="200">
        <f>'Bieu 10'!K43+'Bieu 9'!K43</f>
        <v>0</v>
      </c>
      <c r="L43" s="200">
        <f>'Bieu 10'!L43+'Bieu 9'!L43</f>
        <v>0</v>
      </c>
      <c r="M43" s="200">
        <f>'Bieu 10'!M43+'Bieu 9'!M43</f>
        <v>13596945</v>
      </c>
      <c r="N43" s="200">
        <v>137970</v>
      </c>
      <c r="O43" s="200">
        <f>'Bieu 10'!O43+'Bieu 9'!O43</f>
        <v>13596945</v>
      </c>
      <c r="P43" s="200"/>
      <c r="Q43" s="200">
        <v>10</v>
      </c>
      <c r="R43" s="200">
        <f>'Bieu 10'!R43+'Bieu 9'!R43</f>
        <v>1359695</v>
      </c>
      <c r="S43" s="200">
        <f>'Bieu 10'!S43+'Bieu 9'!S43</f>
        <v>10230285</v>
      </c>
      <c r="T43" s="200">
        <v>106108</v>
      </c>
      <c r="U43" s="200">
        <f>'Bieu 10'!U43+'Bieu 9'!U43</f>
        <v>2006965</v>
      </c>
      <c r="V43" s="200">
        <v>31862</v>
      </c>
      <c r="W43" s="200">
        <v>3556</v>
      </c>
      <c r="X43" s="200">
        <f>'Bieu 10'!X43+'Bieu 9'!X43</f>
        <v>0</v>
      </c>
      <c r="Y43" s="200"/>
      <c r="Z43" s="200"/>
      <c r="AA43" s="200">
        <f>'Bieu 10'!AA43+'Bieu 9'!AA43</f>
        <v>0</v>
      </c>
      <c r="AB43" s="200"/>
      <c r="AC43" s="200"/>
      <c r="AD43" s="200">
        <f>'Bieu 10'!AD43+'Bieu 9'!AD43</f>
        <v>0</v>
      </c>
      <c r="AE43" s="200"/>
      <c r="AF43" s="200"/>
      <c r="AG43" s="200">
        <f>'Bieu 10'!AG43+'Bieu 9'!AG43</f>
        <v>0</v>
      </c>
      <c r="AH43" s="200"/>
      <c r="AI43" s="200"/>
      <c r="AJ43" s="200">
        <f t="shared" si="15"/>
        <v>3424415</v>
      </c>
      <c r="AK43" s="200">
        <f t="shared" si="9"/>
        <v>821360</v>
      </c>
      <c r="AL43" s="200">
        <f t="shared" si="10"/>
        <v>0</v>
      </c>
      <c r="AM43" s="200">
        <f t="shared" si="11"/>
        <v>900000</v>
      </c>
      <c r="AN43" s="200">
        <f t="shared" si="12"/>
        <v>1703055</v>
      </c>
      <c r="AO43" s="200">
        <f t="shared" si="13"/>
        <v>0</v>
      </c>
      <c r="AP43" s="201">
        <f t="shared" si="7"/>
        <v>0.8886892156862745</v>
      </c>
      <c r="AQ43" s="202">
        <f t="shared" si="8"/>
        <v>0.8097547222222222</v>
      </c>
      <c r="AR43" s="196">
        <f t="shared" si="2"/>
        <v>0</v>
      </c>
      <c r="AS43" s="197">
        <f t="shared" si="3"/>
        <v>0</v>
      </c>
      <c r="AT43" s="197">
        <f t="shared" si="4"/>
        <v>0</v>
      </c>
      <c r="AU43" s="197">
        <f t="shared" si="5"/>
        <v>0</v>
      </c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</row>
    <row r="44" spans="1:108" s="234" customFormat="1" ht="17.25" customHeight="1">
      <c r="A44" s="239"/>
      <c r="B44" s="240" t="s">
        <v>60</v>
      </c>
      <c r="C44" s="241">
        <f>C8+C13+C21+C27+C35+C41</f>
        <v>2153400747.7</v>
      </c>
      <c r="D44" s="241">
        <f aca="true" t="shared" si="21" ref="D44:AO44">D8+D13+D21+D27+D35+D41</f>
        <v>179687929.95999998</v>
      </c>
      <c r="E44" s="241">
        <f t="shared" si="21"/>
        <v>25476576</v>
      </c>
      <c r="F44" s="241">
        <f t="shared" si="21"/>
        <v>93196342.80000001</v>
      </c>
      <c r="G44" s="241">
        <f t="shared" si="21"/>
        <v>1782406483.94</v>
      </c>
      <c r="H44" s="241">
        <f t="shared" si="21"/>
        <v>72633415</v>
      </c>
      <c r="I44" s="241">
        <f t="shared" si="21"/>
        <v>1538456983</v>
      </c>
      <c r="J44" s="241">
        <f t="shared" si="21"/>
        <v>112049976</v>
      </c>
      <c r="K44" s="241">
        <f t="shared" si="21"/>
        <v>16759780</v>
      </c>
      <c r="L44" s="241">
        <f t="shared" si="21"/>
        <v>16454716</v>
      </c>
      <c r="M44" s="241">
        <f>M8+M13+M21+M27+M35+M41</f>
        <v>1393192511</v>
      </c>
      <c r="N44" s="241">
        <f t="shared" si="21"/>
        <v>3668934</v>
      </c>
      <c r="O44" s="241">
        <f t="shared" si="21"/>
        <v>779662916</v>
      </c>
      <c r="P44" s="241">
        <f t="shared" si="21"/>
        <v>1846405</v>
      </c>
      <c r="Q44" s="241">
        <f t="shared" si="21"/>
        <v>356</v>
      </c>
      <c r="R44" s="241">
        <f t="shared" si="21"/>
        <v>52660351</v>
      </c>
      <c r="S44" s="241">
        <f t="shared" si="21"/>
        <v>180823176</v>
      </c>
      <c r="T44" s="241">
        <f t="shared" si="21"/>
        <v>825992</v>
      </c>
      <c r="U44" s="241">
        <f t="shared" si="21"/>
        <v>384994576</v>
      </c>
      <c r="V44" s="241">
        <f t="shared" si="21"/>
        <v>961400</v>
      </c>
      <c r="W44" s="241">
        <f t="shared" si="21"/>
        <v>63544</v>
      </c>
      <c r="X44" s="241">
        <f t="shared" si="21"/>
        <v>271498249</v>
      </c>
      <c r="Y44" s="241">
        <f t="shared" si="21"/>
        <v>746368</v>
      </c>
      <c r="Z44" s="241">
        <f t="shared" si="21"/>
        <v>113940</v>
      </c>
      <c r="AA44" s="241">
        <f t="shared" si="21"/>
        <v>342031346</v>
      </c>
      <c r="AB44" s="241">
        <f t="shared" si="21"/>
        <v>839874</v>
      </c>
      <c r="AC44" s="241">
        <f t="shared" si="21"/>
        <v>201</v>
      </c>
      <c r="AD44" s="241">
        <f t="shared" si="21"/>
        <v>24169839</v>
      </c>
      <c r="AE44" s="241">
        <f t="shared" si="21"/>
        <v>0</v>
      </c>
      <c r="AF44" s="241">
        <f t="shared" si="21"/>
        <v>0</v>
      </c>
      <c r="AG44" s="241">
        <f t="shared" si="21"/>
        <v>286076238</v>
      </c>
      <c r="AH44" s="241">
        <f t="shared" si="21"/>
        <v>677604</v>
      </c>
      <c r="AI44" s="241">
        <f t="shared" si="21"/>
        <v>138192</v>
      </c>
      <c r="AJ44" s="241">
        <f t="shared" si="21"/>
        <v>614943764.6999999</v>
      </c>
      <c r="AK44" s="241">
        <f t="shared" si="21"/>
        <v>67637953.96</v>
      </c>
      <c r="AL44" s="241">
        <f t="shared" si="21"/>
        <v>8716796</v>
      </c>
      <c r="AM44" s="241">
        <f t="shared" si="21"/>
        <v>76741626.80000001</v>
      </c>
      <c r="AN44" s="241">
        <f t="shared" si="21"/>
        <v>389213972.93999994</v>
      </c>
      <c r="AO44" s="241">
        <f t="shared" si="21"/>
        <v>72633415</v>
      </c>
      <c r="AP44" s="242">
        <f>M44/G44</f>
        <v>0.781635683865083</v>
      </c>
      <c r="AQ44" s="243">
        <f t="shared" si="8"/>
        <v>0.7144313405868333</v>
      </c>
      <c r="AR44" s="196">
        <f t="shared" si="2"/>
        <v>-2.384185791015625E-07</v>
      </c>
      <c r="AS44" s="197">
        <f t="shared" si="3"/>
        <v>0</v>
      </c>
      <c r="AT44" s="197">
        <f t="shared" si="4"/>
        <v>161184813</v>
      </c>
      <c r="AU44" s="197">
        <f t="shared" si="5"/>
        <v>0</v>
      </c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</row>
    <row r="45" spans="1:108" s="244" customFormat="1" ht="17.25" customHeight="1">
      <c r="A45" s="244" t="s">
        <v>95</v>
      </c>
      <c r="C45" s="245">
        <f>'Thu 2011+2012+2013'!C41</f>
        <v>2101597986</v>
      </c>
      <c r="D45" s="244" t="s">
        <v>287</v>
      </c>
      <c r="F45" s="246"/>
      <c r="G45" s="245" t="e">
        <f>G44+#REF!</f>
        <v>#REF!</v>
      </c>
      <c r="H45" s="245"/>
      <c r="I45" s="245"/>
      <c r="J45" s="245"/>
      <c r="K45" s="245"/>
      <c r="M45" s="247">
        <f>'Bieu 9'!M44+'Bieu 10'!M44</f>
        <v>1393192511</v>
      </c>
      <c r="N45" s="247">
        <f>M43+M42+M40+M39+M38+M37+M36+M34+M33+M28+M25+M23+M22+M18+M17+M16+M15+M14+M12+M11+M10+M9</f>
        <v>1393192511</v>
      </c>
      <c r="O45" s="247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5"/>
      <c r="AP45" s="249"/>
      <c r="AQ45" s="198"/>
      <c r="AR45" s="197"/>
      <c r="AS45" s="197"/>
      <c r="AT45" s="197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</row>
    <row r="46" spans="3:108" s="244" customFormat="1" ht="17.25" customHeight="1">
      <c r="C46" s="247">
        <f>'Thu 2011+2012+2013'!O42</f>
        <v>5494200</v>
      </c>
      <c r="D46" s="244" t="s">
        <v>12</v>
      </c>
      <c r="F46" s="245">
        <f>C9-'Bieu 05'!R7</f>
        <v>4135943.699999988</v>
      </c>
      <c r="L46" s="244">
        <f>'Chi 2011,2012'!M43+'Chi 2013'!M44</f>
        <v>1393192511</v>
      </c>
      <c r="M46" s="250" t="e">
        <f>M45/G45</f>
        <v>#REF!</v>
      </c>
      <c r="N46" s="247"/>
      <c r="O46" s="247"/>
      <c r="P46" s="248"/>
      <c r="Q46" s="248"/>
      <c r="R46" s="248"/>
      <c r="S46" s="248"/>
      <c r="T46" s="248"/>
      <c r="U46" s="248">
        <f>U44+AG44</f>
        <v>671070814</v>
      </c>
      <c r="V46" s="248"/>
      <c r="W46" s="248"/>
      <c r="X46" s="248"/>
      <c r="Y46" s="248"/>
      <c r="Z46" s="248"/>
      <c r="AP46" s="249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</row>
    <row r="47" spans="2:108" s="244" customFormat="1" ht="17.25" customHeight="1">
      <c r="B47" s="245"/>
      <c r="C47" s="247">
        <v>4135944</v>
      </c>
      <c r="D47" s="244" t="s">
        <v>288</v>
      </c>
      <c r="L47" s="245">
        <f>M44-L46</f>
        <v>0</v>
      </c>
      <c r="M47" s="247"/>
      <c r="N47" s="247"/>
      <c r="O47" s="247"/>
      <c r="P47" s="248"/>
      <c r="Q47" s="248"/>
      <c r="R47" s="248"/>
      <c r="S47" s="248"/>
      <c r="T47" s="248"/>
      <c r="U47" s="248">
        <f>W44+AI44</f>
        <v>201736</v>
      </c>
      <c r="V47" s="248"/>
      <c r="W47" s="248"/>
      <c r="X47" s="248"/>
      <c r="Y47" s="248"/>
      <c r="Z47" s="248"/>
      <c r="AP47" s="249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</row>
    <row r="48" spans="3:36" ht="17.25" customHeight="1">
      <c r="C48" s="28">
        <v>33970496</v>
      </c>
      <c r="D48" s="14" t="s">
        <v>275</v>
      </c>
      <c r="G48" s="28">
        <f>C45-H44</f>
        <v>2028964571</v>
      </c>
      <c r="M48" s="15"/>
      <c r="N48" s="15"/>
      <c r="O48" s="15"/>
      <c r="P48" s="16"/>
      <c r="Q48" s="16"/>
      <c r="R48" s="16"/>
      <c r="S48" s="16"/>
      <c r="U48" s="16">
        <f>V44+AH44</f>
        <v>1639004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3:13" ht="35.25" customHeight="1">
      <c r="C49" s="28">
        <f>C45+C46+C47+C48</f>
        <v>2145198626</v>
      </c>
      <c r="D49" s="28">
        <f>C49-C44</f>
        <v>-8202121.699999809</v>
      </c>
      <c r="F49" s="663">
        <f>'Bieu 9'!D46+'Bieu 10'!D45</f>
        <v>2080565526.7</v>
      </c>
      <c r="G49" s="664">
        <f>F49-G48</f>
        <v>51600955.70000005</v>
      </c>
      <c r="L49" s="28" t="e">
        <f>G44+#REF!</f>
        <v>#REF!</v>
      </c>
      <c r="M49" s="28" t="e">
        <f>M44+#REF!</f>
        <v>#REF!</v>
      </c>
    </row>
    <row r="50" spans="3:12" ht="35.25" customHeight="1">
      <c r="C50" s="15">
        <f>'Bieu 9'!C44+'Bieu 10'!C44</f>
        <v>2153400747.7</v>
      </c>
      <c r="F50" s="664">
        <f>C45-F49</f>
        <v>21032459.299999952</v>
      </c>
      <c r="G50" s="664">
        <f>F49+H44</f>
        <v>2153198941.7</v>
      </c>
      <c r="L50" s="28" t="e">
        <f>G44+#REF!</f>
        <v>#REF!</v>
      </c>
    </row>
    <row r="51" ht="35.25" customHeight="1">
      <c r="C51" s="663"/>
    </row>
  </sheetData>
  <sheetProtection/>
  <mergeCells count="48">
    <mergeCell ref="AQ1:AQ6"/>
    <mergeCell ref="AJ1:AO1"/>
    <mergeCell ref="AP1:AP6"/>
    <mergeCell ref="C2:C6"/>
    <mergeCell ref="D2:H2"/>
    <mergeCell ref="I2:I6"/>
    <mergeCell ref="J2:J6"/>
    <mergeCell ref="AL2:AL6"/>
    <mergeCell ref="AA3:AI3"/>
    <mergeCell ref="M4:M6"/>
    <mergeCell ref="N4:N6"/>
    <mergeCell ref="O4:O6"/>
    <mergeCell ref="AN2:AN6"/>
    <mergeCell ref="AO2:AO6"/>
    <mergeCell ref="AJ2:AJ6"/>
    <mergeCell ref="AK2:AK6"/>
    <mergeCell ref="O3:W3"/>
    <mergeCell ref="X3:Z3"/>
    <mergeCell ref="AB4:AB6"/>
    <mergeCell ref="AC4:AC6"/>
    <mergeCell ref="A1:A6"/>
    <mergeCell ref="B1:B6"/>
    <mergeCell ref="C1:H1"/>
    <mergeCell ref="I1:AC1"/>
    <mergeCell ref="AM2:AM6"/>
    <mergeCell ref="D3:D6"/>
    <mergeCell ref="E3:E6"/>
    <mergeCell ref="F3:F6"/>
    <mergeCell ref="G3:G6"/>
    <mergeCell ref="H3:H6"/>
    <mergeCell ref="K2:K6"/>
    <mergeCell ref="L2:L6"/>
    <mergeCell ref="M2:N3"/>
    <mergeCell ref="O2:AC2"/>
    <mergeCell ref="P4:P6"/>
    <mergeCell ref="Q4:Q6"/>
    <mergeCell ref="R4:W4"/>
    <mergeCell ref="X4:X6"/>
    <mergeCell ref="Y4:Y6"/>
    <mergeCell ref="AA4:AA6"/>
    <mergeCell ref="AD4:AI4"/>
    <mergeCell ref="R5:R6"/>
    <mergeCell ref="S5:T5"/>
    <mergeCell ref="U5:W5"/>
    <mergeCell ref="AD5:AD6"/>
    <mergeCell ref="AE5:AF5"/>
    <mergeCell ref="AG5:AI5"/>
    <mergeCell ref="Z4:Z6"/>
  </mergeCells>
  <printOptions horizontalCentered="1"/>
  <pageMargins left="0.2" right="0.2" top="0.75" bottom="0.15" header="0" footer="0"/>
  <pageSetup horizontalDpi="600" verticalDpi="600" orientation="landscape" paperSize="9" r:id="rId3"/>
  <headerFooter>
    <oddHeader>&amp;C&amp;"Time new roman,Bold"&amp;10Phụ biểu 11. Kết quả giải  ngân tiền DVMTR thu được từ năm 2011 đến 2013 của Quỹ Bảo vệ và Phát triển rừng tỉnh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4.28125" style="0" bestFit="1" customWidth="1"/>
    <col min="2" max="7" width="14.28125" style="0" customWidth="1"/>
  </cols>
  <sheetData>
    <row r="1" spans="1:7" ht="15.75">
      <c r="A1" s="892" t="s">
        <v>418</v>
      </c>
      <c r="B1" s="892"/>
      <c r="C1" s="892"/>
      <c r="D1" s="892"/>
      <c r="E1" s="892"/>
      <c r="F1" s="892"/>
      <c r="G1" s="892"/>
    </row>
    <row r="3" spans="1:7" ht="28.5" customHeight="1">
      <c r="A3" s="490" t="s">
        <v>419</v>
      </c>
      <c r="B3" s="490" t="s">
        <v>24</v>
      </c>
      <c r="C3" s="490" t="s">
        <v>420</v>
      </c>
      <c r="D3" s="490" t="s">
        <v>421</v>
      </c>
      <c r="E3" s="490" t="s">
        <v>6</v>
      </c>
      <c r="F3" s="490" t="s">
        <v>7</v>
      </c>
      <c r="G3" s="490" t="s">
        <v>8</v>
      </c>
    </row>
    <row r="4" spans="1:7" ht="28.5" customHeight="1">
      <c r="A4" s="488" t="s">
        <v>422</v>
      </c>
      <c r="B4" s="488"/>
      <c r="C4" s="488"/>
      <c r="D4" s="488"/>
      <c r="E4" s="488"/>
      <c r="F4" s="488"/>
      <c r="G4" s="488"/>
    </row>
    <row r="5" spans="1:7" ht="28.5" customHeight="1">
      <c r="A5" s="489" t="s">
        <v>423</v>
      </c>
      <c r="B5" s="491" t="s">
        <v>47</v>
      </c>
      <c r="C5" s="488">
        <v>324</v>
      </c>
      <c r="D5" s="488">
        <v>897</v>
      </c>
      <c r="E5" s="488">
        <v>241</v>
      </c>
      <c r="F5" s="488">
        <v>387</v>
      </c>
      <c r="G5" s="488">
        <v>260</v>
      </c>
    </row>
    <row r="6" spans="1:7" ht="28.5" customHeight="1">
      <c r="A6" s="489" t="s">
        <v>424</v>
      </c>
      <c r="B6" s="491" t="s">
        <v>16</v>
      </c>
      <c r="C6" s="488">
        <v>968</v>
      </c>
      <c r="D6" s="488">
        <v>4549</v>
      </c>
      <c r="E6" s="488">
        <v>1186</v>
      </c>
      <c r="F6" s="488">
        <v>1385</v>
      </c>
      <c r="G6" s="488">
        <v>971</v>
      </c>
    </row>
    <row r="7" spans="1:7" ht="28.5" customHeight="1">
      <c r="A7" s="488" t="s">
        <v>425</v>
      </c>
      <c r="B7" s="491"/>
      <c r="C7" s="488"/>
      <c r="D7" s="488"/>
      <c r="E7" s="488"/>
      <c r="F7" s="488"/>
      <c r="G7" s="488"/>
    </row>
    <row r="8" spans="1:7" ht="28.5" customHeight="1">
      <c r="A8" s="489" t="s">
        <v>423</v>
      </c>
      <c r="B8" s="491" t="s">
        <v>47</v>
      </c>
      <c r="C8" s="488">
        <v>9392</v>
      </c>
      <c r="D8" s="488">
        <v>6624</v>
      </c>
      <c r="E8" s="488">
        <v>6148</v>
      </c>
      <c r="F8" s="488">
        <v>5903</v>
      </c>
      <c r="G8" s="488">
        <v>4326</v>
      </c>
    </row>
    <row r="9" spans="1:7" ht="28.5" customHeight="1">
      <c r="A9" s="489" t="s">
        <v>424</v>
      </c>
      <c r="B9" s="491" t="s">
        <v>16</v>
      </c>
      <c r="C9" s="488">
        <v>3459</v>
      </c>
      <c r="D9" s="488">
        <v>3942</v>
      </c>
      <c r="E9" s="488">
        <v>6703</v>
      </c>
      <c r="F9" s="488">
        <v>2170</v>
      </c>
      <c r="G9" s="488">
        <v>707</v>
      </c>
    </row>
    <row r="10" spans="1:7" ht="28.5" customHeight="1">
      <c r="A10" s="488" t="s">
        <v>426</v>
      </c>
      <c r="B10" s="491" t="s">
        <v>16</v>
      </c>
      <c r="C10" s="488">
        <v>38</v>
      </c>
      <c r="D10" s="488">
        <v>39</v>
      </c>
      <c r="E10" s="488">
        <v>285</v>
      </c>
      <c r="F10" s="488">
        <v>95</v>
      </c>
      <c r="G10" s="488">
        <v>100</v>
      </c>
    </row>
    <row r="11" spans="1:7" ht="28.5" customHeight="1">
      <c r="A11" s="488" t="s">
        <v>427</v>
      </c>
      <c r="B11" s="491" t="s">
        <v>16</v>
      </c>
      <c r="C11" s="488">
        <v>38636</v>
      </c>
      <c r="D11" s="488">
        <v>46549</v>
      </c>
      <c r="E11" s="488">
        <v>24069</v>
      </c>
      <c r="F11" s="488">
        <v>59172</v>
      </c>
      <c r="G11" s="488">
        <v>70.5</v>
      </c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47"/>
  <sheetViews>
    <sheetView zoomScalePageLayoutView="0" workbookViewId="0" topLeftCell="A1">
      <pane xSplit="2" ySplit="4" topLeftCell="Z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9" sqref="I29:M29"/>
    </sheetView>
  </sheetViews>
  <sheetFormatPr defaultColWidth="9.140625" defaultRowHeight="15"/>
  <cols>
    <col min="1" max="1" width="7.28125" style="2" customWidth="1"/>
    <col min="2" max="2" width="36.7109375" style="2" customWidth="1"/>
    <col min="3" max="3" width="8.140625" style="2" customWidth="1"/>
    <col min="4" max="4" width="12.140625" style="2" customWidth="1"/>
    <col min="5" max="5" width="11.00390625" style="305" customWidth="1"/>
    <col min="6" max="6" width="11.57421875" style="305" bestFit="1" customWidth="1"/>
    <col min="7" max="7" width="10.8515625" style="305" customWidth="1"/>
    <col min="8" max="8" width="11.57421875" style="305" bestFit="1" customWidth="1"/>
    <col min="9" max="9" width="10.140625" style="305" customWidth="1"/>
    <col min="10" max="10" width="10.00390625" style="305" bestFit="1" customWidth="1"/>
    <col min="11" max="11" width="10.7109375" style="305" customWidth="1"/>
    <col min="12" max="12" width="10.140625" style="305" bestFit="1" customWidth="1"/>
    <col min="13" max="13" width="10.421875" style="305" bestFit="1" customWidth="1"/>
    <col min="14" max="14" width="10.00390625" style="305" bestFit="1" customWidth="1"/>
    <col min="15" max="15" width="10.140625" style="305" bestFit="1" customWidth="1"/>
    <col min="16" max="16" width="10.00390625" style="305" customWidth="1"/>
    <col min="17" max="17" width="11.00390625" style="305" customWidth="1"/>
    <col min="18" max="18" width="10.140625" style="305" customWidth="1"/>
    <col min="19" max="19" width="10.00390625" style="2" bestFit="1" customWidth="1"/>
    <col min="20" max="20" width="10.140625" style="2" bestFit="1" customWidth="1"/>
    <col min="21" max="21" width="11.00390625" style="2" customWidth="1"/>
    <col min="22" max="22" width="10.140625" style="2" customWidth="1"/>
    <col min="23" max="24" width="10.00390625" style="2" bestFit="1" customWidth="1"/>
    <col min="25" max="25" width="10.140625" style="2" bestFit="1" customWidth="1"/>
    <col min="26" max="26" width="9.8515625" style="2" customWidth="1"/>
    <col min="27" max="27" width="11.00390625" style="129" customWidth="1"/>
    <col min="28" max="28" width="11.421875" style="2" customWidth="1"/>
    <col min="29" max="29" width="12.421875" style="2" customWidth="1"/>
    <col min="30" max="31" width="10.8515625" style="2" bestFit="1" customWidth="1"/>
    <col min="32" max="32" width="10.140625" style="2" customWidth="1"/>
    <col min="33" max="33" width="11.140625" style="2" customWidth="1"/>
    <col min="34" max="16384" width="9.140625" style="2" customWidth="1"/>
  </cols>
  <sheetData>
    <row r="1" ht="12.75"/>
    <row r="2" spans="1:33" s="5" customFormat="1" ht="18" customHeight="1">
      <c r="A2" s="895" t="s">
        <v>0</v>
      </c>
      <c r="B2" s="895" t="s">
        <v>1</v>
      </c>
      <c r="C2" s="893" t="s">
        <v>24</v>
      </c>
      <c r="D2" s="893" t="s">
        <v>212</v>
      </c>
      <c r="E2" s="902" t="s">
        <v>61</v>
      </c>
      <c r="F2" s="902"/>
      <c r="G2" s="902"/>
      <c r="H2" s="902"/>
      <c r="I2" s="903" t="s">
        <v>62</v>
      </c>
      <c r="J2" s="903"/>
      <c r="K2" s="903"/>
      <c r="L2" s="903"/>
      <c r="M2" s="903"/>
      <c r="N2" s="903"/>
      <c r="O2" s="903"/>
      <c r="P2" s="904" t="s">
        <v>63</v>
      </c>
      <c r="Q2" s="905"/>
      <c r="R2" s="905"/>
      <c r="S2" s="905"/>
      <c r="T2" s="906"/>
      <c r="U2" s="904" t="s">
        <v>64</v>
      </c>
      <c r="V2" s="905"/>
      <c r="W2" s="905"/>
      <c r="X2" s="905"/>
      <c r="Y2" s="905"/>
      <c r="Z2" s="906"/>
      <c r="AA2" s="904" t="s">
        <v>65</v>
      </c>
      <c r="AB2" s="905"/>
      <c r="AC2" s="905"/>
      <c r="AD2" s="905"/>
      <c r="AE2" s="906"/>
      <c r="AF2" s="897" t="s">
        <v>66</v>
      </c>
      <c r="AG2" s="897"/>
    </row>
    <row r="3" spans="1:33" s="5" customFormat="1" ht="25.5" customHeight="1">
      <c r="A3" s="896"/>
      <c r="B3" s="896"/>
      <c r="C3" s="894"/>
      <c r="D3" s="894"/>
      <c r="E3" s="57" t="s">
        <v>67</v>
      </c>
      <c r="F3" s="57" t="s">
        <v>68</v>
      </c>
      <c r="G3" s="57" t="s">
        <v>69</v>
      </c>
      <c r="H3" s="57" t="s">
        <v>70</v>
      </c>
      <c r="I3" s="57" t="s">
        <v>71</v>
      </c>
      <c r="J3" s="57" t="s">
        <v>72</v>
      </c>
      <c r="K3" s="57" t="s">
        <v>73</v>
      </c>
      <c r="L3" s="57" t="s">
        <v>74</v>
      </c>
      <c r="M3" s="57" t="s">
        <v>75</v>
      </c>
      <c r="N3" s="57" t="s">
        <v>76</v>
      </c>
      <c r="O3" s="57" t="s">
        <v>77</v>
      </c>
      <c r="P3" s="57" t="s">
        <v>78</v>
      </c>
      <c r="Q3" s="57" t="s">
        <v>79</v>
      </c>
      <c r="R3" s="57" t="s">
        <v>111</v>
      </c>
      <c r="S3" s="57" t="s">
        <v>80</v>
      </c>
      <c r="T3" s="57" t="s">
        <v>81</v>
      </c>
      <c r="U3" s="57" t="s">
        <v>82</v>
      </c>
      <c r="V3" s="57" t="s">
        <v>115</v>
      </c>
      <c r="W3" s="57" t="s">
        <v>83</v>
      </c>
      <c r="X3" s="57" t="s">
        <v>84</v>
      </c>
      <c r="Y3" s="57" t="s">
        <v>85</v>
      </c>
      <c r="Z3" s="57" t="s">
        <v>86</v>
      </c>
      <c r="AA3" s="295" t="s">
        <v>87</v>
      </c>
      <c r="AB3" s="57" t="s">
        <v>88</v>
      </c>
      <c r="AC3" s="57" t="s">
        <v>89</v>
      </c>
      <c r="AD3" s="57" t="s">
        <v>90</v>
      </c>
      <c r="AE3" s="57" t="s">
        <v>91</v>
      </c>
      <c r="AF3" s="57" t="s">
        <v>92</v>
      </c>
      <c r="AG3" s="57" t="s">
        <v>93</v>
      </c>
    </row>
    <row r="4" spans="1:33" s="5" customFormat="1" ht="12.75" customHeight="1">
      <c r="A4" s="898" t="s">
        <v>6</v>
      </c>
      <c r="B4" s="899"/>
      <c r="C4" s="900"/>
      <c r="D4" s="275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296"/>
      <c r="AB4" s="58"/>
      <c r="AC4" s="58"/>
      <c r="AD4" s="58"/>
      <c r="AE4" s="58"/>
      <c r="AF4" s="58"/>
      <c r="AG4" s="58"/>
    </row>
    <row r="5" spans="1:33" s="5" customFormat="1" ht="12.75" customHeight="1">
      <c r="A5" s="274">
        <v>1</v>
      </c>
      <c r="B5" s="4" t="s">
        <v>15</v>
      </c>
      <c r="C5" s="4" t="s">
        <v>16</v>
      </c>
      <c r="D5" s="275">
        <f>SUM(E5:AG5)</f>
        <v>11136877</v>
      </c>
      <c r="E5" s="301">
        <v>350531</v>
      </c>
      <c r="F5" s="301">
        <v>633687</v>
      </c>
      <c r="G5" s="301">
        <v>390981</v>
      </c>
      <c r="H5" s="301">
        <v>222645</v>
      </c>
      <c r="I5" s="301">
        <v>410792</v>
      </c>
      <c r="J5" s="301">
        <v>333605</v>
      </c>
      <c r="K5" s="301">
        <v>447907</v>
      </c>
      <c r="L5" s="301">
        <v>397367</v>
      </c>
      <c r="M5" s="301">
        <v>338317</v>
      </c>
      <c r="N5" s="301">
        <v>296947</v>
      </c>
      <c r="O5" s="301">
        <v>182657</v>
      </c>
      <c r="P5" s="301">
        <v>551297</v>
      </c>
      <c r="Q5" s="301">
        <v>883972</v>
      </c>
      <c r="R5" s="301">
        <v>321377</v>
      </c>
      <c r="S5" s="68">
        <v>229844</v>
      </c>
      <c r="T5" s="68">
        <v>294666</v>
      </c>
      <c r="U5" s="68">
        <v>513811</v>
      </c>
      <c r="V5" s="68">
        <v>261618</v>
      </c>
      <c r="W5" s="68">
        <v>181676</v>
      </c>
      <c r="X5" s="68">
        <v>299422</v>
      </c>
      <c r="Y5" s="68">
        <v>300527</v>
      </c>
      <c r="Z5" s="68">
        <v>148974</v>
      </c>
      <c r="AA5" s="297">
        <v>631952</v>
      </c>
      <c r="AB5" s="68">
        <v>609344</v>
      </c>
      <c r="AC5" s="68">
        <v>289034</v>
      </c>
      <c r="AD5" s="68">
        <v>719477</v>
      </c>
      <c r="AE5" s="68">
        <v>598192</v>
      </c>
      <c r="AF5" s="68">
        <v>116532</v>
      </c>
      <c r="AG5" s="68">
        <v>179726</v>
      </c>
    </row>
    <row r="6" spans="1:33" s="5" customFormat="1" ht="12.75" customHeight="1">
      <c r="A6" s="274">
        <v>2</v>
      </c>
      <c r="B6" s="4" t="s">
        <v>53</v>
      </c>
      <c r="C6" s="4" t="s">
        <v>16</v>
      </c>
      <c r="D6" s="275">
        <f aca="true" t="shared" si="0" ref="D6:D16">SUM(E6:AG6)</f>
        <v>2444385.7</v>
      </c>
      <c r="E6" s="301">
        <v>242304</v>
      </c>
      <c r="F6" s="301">
        <f>F7+F10+F11</f>
        <v>419549</v>
      </c>
      <c r="G6" s="301">
        <f>G7+G10+G11</f>
        <v>0</v>
      </c>
      <c r="H6" s="301">
        <f aca="true" t="shared" si="1" ref="H6:AG6">H7+H10+H11</f>
        <v>73802.5</v>
      </c>
      <c r="I6" s="301">
        <f t="shared" si="1"/>
        <v>0</v>
      </c>
      <c r="J6" s="301">
        <f t="shared" si="1"/>
        <v>0</v>
      </c>
      <c r="K6" s="301">
        <v>254893</v>
      </c>
      <c r="L6" s="301">
        <f t="shared" si="1"/>
        <v>0</v>
      </c>
      <c r="M6" s="301">
        <f t="shared" si="1"/>
        <v>93184</v>
      </c>
      <c r="N6" s="301">
        <f t="shared" si="1"/>
        <v>0</v>
      </c>
      <c r="O6" s="301">
        <f t="shared" si="1"/>
        <v>0</v>
      </c>
      <c r="P6" s="301">
        <f t="shared" si="1"/>
        <v>0</v>
      </c>
      <c r="Q6" s="301">
        <f t="shared" si="1"/>
        <v>0</v>
      </c>
      <c r="R6" s="301"/>
      <c r="S6" s="68">
        <f t="shared" si="1"/>
        <v>0</v>
      </c>
      <c r="T6" s="68">
        <f t="shared" si="1"/>
        <v>0</v>
      </c>
      <c r="U6" s="68">
        <f t="shared" si="1"/>
        <v>0</v>
      </c>
      <c r="V6" s="68"/>
      <c r="W6" s="68">
        <f t="shared" si="1"/>
        <v>0</v>
      </c>
      <c r="X6" s="68">
        <f t="shared" si="1"/>
        <v>0</v>
      </c>
      <c r="Y6" s="68">
        <f t="shared" si="1"/>
        <v>0</v>
      </c>
      <c r="Z6" s="68">
        <f t="shared" si="1"/>
        <v>0</v>
      </c>
      <c r="AA6" s="297">
        <f>AA7+AA10+AA11</f>
        <v>323422</v>
      </c>
      <c r="AB6" s="68">
        <f t="shared" si="1"/>
        <v>0</v>
      </c>
      <c r="AC6" s="68">
        <f>AC7+AC10+AC11</f>
        <v>162065.19999999998</v>
      </c>
      <c r="AD6" s="68">
        <v>449233</v>
      </c>
      <c r="AE6" s="68">
        <f t="shared" si="1"/>
        <v>272378</v>
      </c>
      <c r="AF6" s="68">
        <f t="shared" si="1"/>
        <v>0</v>
      </c>
      <c r="AG6" s="68">
        <f t="shared" si="1"/>
        <v>153555</v>
      </c>
    </row>
    <row r="7" spans="1:33" ht="12.75" customHeight="1">
      <c r="A7" s="6" t="s">
        <v>21</v>
      </c>
      <c r="B7" s="10" t="s">
        <v>17</v>
      </c>
      <c r="C7" s="7" t="s">
        <v>16</v>
      </c>
      <c r="D7" s="276">
        <f t="shared" si="0"/>
        <v>1242705.3</v>
      </c>
      <c r="E7" s="302">
        <f>E8+E9</f>
        <v>31211</v>
      </c>
      <c r="F7" s="302">
        <f>F8+F9</f>
        <v>30883</v>
      </c>
      <c r="G7" s="302">
        <f>G8+G9</f>
        <v>0</v>
      </c>
      <c r="H7" s="302">
        <f aca="true" t="shared" si="2" ref="H7:AG7">H8+H9</f>
        <v>10258.5</v>
      </c>
      <c r="I7" s="302">
        <f t="shared" si="2"/>
        <v>0</v>
      </c>
      <c r="J7" s="302">
        <f t="shared" si="2"/>
        <v>0</v>
      </c>
      <c r="K7" s="302">
        <f t="shared" si="2"/>
        <v>36208</v>
      </c>
      <c r="L7" s="302">
        <f t="shared" si="2"/>
        <v>0</v>
      </c>
      <c r="M7" s="302">
        <f t="shared" si="2"/>
        <v>2642</v>
      </c>
      <c r="N7" s="302">
        <f t="shared" si="2"/>
        <v>0</v>
      </c>
      <c r="O7" s="302">
        <f t="shared" si="2"/>
        <v>0</v>
      </c>
      <c r="P7" s="302">
        <f t="shared" si="2"/>
        <v>0</v>
      </c>
      <c r="Q7" s="302">
        <f t="shared" si="2"/>
        <v>0</v>
      </c>
      <c r="R7" s="302"/>
      <c r="S7" s="69">
        <f t="shared" si="2"/>
        <v>0</v>
      </c>
      <c r="T7" s="69">
        <f t="shared" si="2"/>
        <v>0</v>
      </c>
      <c r="U7" s="69">
        <f t="shared" si="2"/>
        <v>0</v>
      </c>
      <c r="V7" s="69"/>
      <c r="W7" s="69">
        <f t="shared" si="2"/>
        <v>0</v>
      </c>
      <c r="X7" s="69">
        <f t="shared" si="2"/>
        <v>0</v>
      </c>
      <c r="Y7" s="69">
        <f t="shared" si="2"/>
        <v>0</v>
      </c>
      <c r="Z7" s="69">
        <f t="shared" si="2"/>
        <v>0</v>
      </c>
      <c r="AA7" s="298">
        <v>268365</v>
      </c>
      <c r="AB7" s="69">
        <f t="shared" si="2"/>
        <v>0</v>
      </c>
      <c r="AC7" s="69">
        <f t="shared" si="2"/>
        <v>157390.8</v>
      </c>
      <c r="AD7" s="69">
        <f t="shared" si="2"/>
        <v>295839</v>
      </c>
      <c r="AE7" s="69">
        <f t="shared" si="2"/>
        <v>263331</v>
      </c>
      <c r="AF7" s="69">
        <f t="shared" si="2"/>
        <v>0</v>
      </c>
      <c r="AG7" s="69">
        <f t="shared" si="2"/>
        <v>146577</v>
      </c>
    </row>
    <row r="8" spans="1:33" s="60" customFormat="1" ht="12.75" customHeight="1">
      <c r="A8" s="70"/>
      <c r="B8" s="71" t="s">
        <v>18</v>
      </c>
      <c r="C8" s="277" t="s">
        <v>16</v>
      </c>
      <c r="D8" s="278">
        <f t="shared" si="0"/>
        <v>524317.4</v>
      </c>
      <c r="E8" s="303">
        <v>12480</v>
      </c>
      <c r="F8" s="303">
        <v>0</v>
      </c>
      <c r="G8" s="303"/>
      <c r="H8" s="303">
        <v>5147.6</v>
      </c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72"/>
      <c r="T8" s="72"/>
      <c r="U8" s="72"/>
      <c r="V8" s="72"/>
      <c r="W8" s="72"/>
      <c r="X8" s="72"/>
      <c r="Y8" s="72"/>
      <c r="Z8" s="72"/>
      <c r="AA8" s="299"/>
      <c r="AB8" s="72"/>
      <c r="AC8" s="72">
        <v>122885.8</v>
      </c>
      <c r="AD8" s="72">
        <v>276517</v>
      </c>
      <c r="AE8" s="72"/>
      <c r="AF8" s="72"/>
      <c r="AG8" s="72">
        <v>107287</v>
      </c>
    </row>
    <row r="9" spans="1:33" s="60" customFormat="1" ht="12.75" customHeight="1">
      <c r="A9" s="70"/>
      <c r="B9" s="71" t="s">
        <v>19</v>
      </c>
      <c r="C9" s="277" t="s">
        <v>16</v>
      </c>
      <c r="D9" s="278">
        <f t="shared" si="0"/>
        <v>450022.9</v>
      </c>
      <c r="E9" s="303">
        <v>18731</v>
      </c>
      <c r="F9" s="303">
        <v>30883</v>
      </c>
      <c r="G9" s="303"/>
      <c r="H9" s="303">
        <v>5110.9</v>
      </c>
      <c r="I9" s="303"/>
      <c r="J9" s="303"/>
      <c r="K9" s="303">
        <v>36208</v>
      </c>
      <c r="L9" s="303"/>
      <c r="M9" s="303">
        <v>2642</v>
      </c>
      <c r="N9" s="303"/>
      <c r="O9" s="303"/>
      <c r="P9" s="303"/>
      <c r="Q9" s="303"/>
      <c r="R9" s="303"/>
      <c r="S9" s="72"/>
      <c r="T9" s="72"/>
      <c r="U9" s="72"/>
      <c r="V9" s="72"/>
      <c r="W9" s="72"/>
      <c r="X9" s="72"/>
      <c r="Y9" s="72"/>
      <c r="Z9" s="72"/>
      <c r="AA9" s="299"/>
      <c r="AB9" s="72"/>
      <c r="AC9" s="72">
        <v>34505</v>
      </c>
      <c r="AD9" s="72">
        <v>19322</v>
      </c>
      <c r="AE9" s="72">
        <v>263331</v>
      </c>
      <c r="AF9" s="72"/>
      <c r="AG9" s="72">
        <v>39290</v>
      </c>
    </row>
    <row r="10" spans="1:33" ht="12.75" customHeight="1">
      <c r="A10" s="6" t="s">
        <v>22</v>
      </c>
      <c r="B10" s="10" t="s">
        <v>150</v>
      </c>
      <c r="C10" s="7" t="s">
        <v>16</v>
      </c>
      <c r="D10" s="276">
        <f t="shared" si="0"/>
        <v>762388.3</v>
      </c>
      <c r="E10" s="302">
        <f>201267+9826</f>
        <v>211093</v>
      </c>
      <c r="F10" s="302">
        <v>371149</v>
      </c>
      <c r="G10" s="302"/>
      <c r="H10" s="302">
        <v>63544</v>
      </c>
      <c r="I10" s="302"/>
      <c r="J10" s="302"/>
      <c r="K10" s="302"/>
      <c r="L10" s="302"/>
      <c r="M10" s="302">
        <v>76427.5</v>
      </c>
      <c r="N10" s="302"/>
      <c r="O10" s="302"/>
      <c r="P10" s="302"/>
      <c r="Q10" s="302"/>
      <c r="R10" s="302"/>
      <c r="S10" s="69"/>
      <c r="T10" s="69"/>
      <c r="U10" s="69"/>
      <c r="V10" s="69"/>
      <c r="W10" s="69"/>
      <c r="X10" s="69"/>
      <c r="Y10" s="69"/>
      <c r="Z10" s="69"/>
      <c r="AA10" s="298">
        <v>17714</v>
      </c>
      <c r="AB10" s="69"/>
      <c r="AC10" s="69">
        <v>3278.8</v>
      </c>
      <c r="AD10" s="69">
        <v>3157</v>
      </c>
      <c r="AE10" s="69">
        <v>9047</v>
      </c>
      <c r="AF10" s="69"/>
      <c r="AG10" s="69">
        <v>6978</v>
      </c>
    </row>
    <row r="11" spans="1:33" ht="12.75" customHeight="1">
      <c r="A11" s="6" t="s">
        <v>23</v>
      </c>
      <c r="B11" s="12" t="s">
        <v>20</v>
      </c>
      <c r="C11" s="7" t="s">
        <v>16</v>
      </c>
      <c r="D11" s="276">
        <f t="shared" si="0"/>
        <v>439293.1</v>
      </c>
      <c r="E11" s="302"/>
      <c r="F11" s="302">
        <f>F12+F13</f>
        <v>17517</v>
      </c>
      <c r="G11" s="302">
        <f>G12+G13</f>
        <v>0</v>
      </c>
      <c r="H11" s="302">
        <f>H12+H13</f>
        <v>0</v>
      </c>
      <c r="I11" s="302">
        <f aca="true" t="shared" si="3" ref="I11:AG11">I12+I13</f>
        <v>0</v>
      </c>
      <c r="J11" s="302">
        <f t="shared" si="3"/>
        <v>0</v>
      </c>
      <c r="K11" s="302">
        <v>218685</v>
      </c>
      <c r="L11" s="302">
        <f t="shared" si="3"/>
        <v>0</v>
      </c>
      <c r="M11" s="302">
        <v>14114.5</v>
      </c>
      <c r="N11" s="302">
        <f t="shared" si="3"/>
        <v>0</v>
      </c>
      <c r="O11" s="302">
        <f t="shared" si="3"/>
        <v>0</v>
      </c>
      <c r="P11" s="302">
        <f t="shared" si="3"/>
        <v>0</v>
      </c>
      <c r="Q11" s="302">
        <f t="shared" si="3"/>
        <v>0</v>
      </c>
      <c r="R11" s="302"/>
      <c r="S11" s="69">
        <f t="shared" si="3"/>
        <v>0</v>
      </c>
      <c r="T11" s="69">
        <f t="shared" si="3"/>
        <v>0</v>
      </c>
      <c r="U11" s="69">
        <f t="shared" si="3"/>
        <v>0</v>
      </c>
      <c r="V11" s="69"/>
      <c r="W11" s="69">
        <f t="shared" si="3"/>
        <v>0</v>
      </c>
      <c r="X11" s="69">
        <f t="shared" si="3"/>
        <v>0</v>
      </c>
      <c r="Y11" s="69">
        <f t="shared" si="3"/>
        <v>0</v>
      </c>
      <c r="Z11" s="69">
        <f t="shared" si="3"/>
        <v>0</v>
      </c>
      <c r="AA11" s="298">
        <v>37343</v>
      </c>
      <c r="AB11" s="69">
        <f t="shared" si="3"/>
        <v>0</v>
      </c>
      <c r="AC11" s="69">
        <f t="shared" si="3"/>
        <v>1395.6</v>
      </c>
      <c r="AD11" s="69">
        <f t="shared" si="3"/>
        <v>150238</v>
      </c>
      <c r="AE11" s="69">
        <f t="shared" si="3"/>
        <v>0</v>
      </c>
      <c r="AF11" s="69">
        <f t="shared" si="3"/>
        <v>0</v>
      </c>
      <c r="AG11" s="69">
        <f t="shared" si="3"/>
        <v>0</v>
      </c>
    </row>
    <row r="12" spans="1:33" s="60" customFormat="1" ht="12.75" customHeight="1">
      <c r="A12" s="70"/>
      <c r="B12" s="71" t="s">
        <v>18</v>
      </c>
      <c r="C12" s="277" t="s">
        <v>16</v>
      </c>
      <c r="D12" s="278">
        <f t="shared" si="0"/>
        <v>151633.6</v>
      </c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72"/>
      <c r="T12" s="72"/>
      <c r="U12" s="72"/>
      <c r="V12" s="72"/>
      <c r="W12" s="72"/>
      <c r="X12" s="72"/>
      <c r="Y12" s="72"/>
      <c r="Z12" s="72"/>
      <c r="AA12" s="299"/>
      <c r="AB12" s="72"/>
      <c r="AC12" s="72">
        <v>1395.6</v>
      </c>
      <c r="AD12" s="72">
        <v>150238</v>
      </c>
      <c r="AE12" s="72"/>
      <c r="AF12" s="72"/>
      <c r="AG12" s="72"/>
    </row>
    <row r="13" spans="1:33" s="60" customFormat="1" ht="12.75" customHeight="1">
      <c r="A13" s="70"/>
      <c r="B13" s="71" t="s">
        <v>19</v>
      </c>
      <c r="C13" s="277" t="s">
        <v>16</v>
      </c>
      <c r="D13" s="278">
        <f t="shared" si="0"/>
        <v>236202</v>
      </c>
      <c r="E13" s="303"/>
      <c r="F13" s="303">
        <v>17517</v>
      </c>
      <c r="G13" s="303"/>
      <c r="H13" s="303"/>
      <c r="I13" s="303"/>
      <c r="J13" s="303"/>
      <c r="K13" s="303">
        <v>218685</v>
      </c>
      <c r="L13" s="303"/>
      <c r="M13" s="303"/>
      <c r="N13" s="303"/>
      <c r="O13" s="303"/>
      <c r="P13" s="303"/>
      <c r="Q13" s="303"/>
      <c r="R13" s="303"/>
      <c r="S13" s="72"/>
      <c r="T13" s="72"/>
      <c r="U13" s="72"/>
      <c r="V13" s="72"/>
      <c r="W13" s="72"/>
      <c r="X13" s="72"/>
      <c r="Y13" s="72"/>
      <c r="Z13" s="72"/>
      <c r="AA13" s="299"/>
      <c r="AB13" s="72"/>
      <c r="AC13" s="72"/>
      <c r="AD13" s="72"/>
      <c r="AE13" s="72"/>
      <c r="AF13" s="72"/>
      <c r="AG13" s="72"/>
    </row>
    <row r="14" spans="1:33" s="5" customFormat="1" ht="12.75" customHeight="1">
      <c r="A14" s="307">
        <v>3</v>
      </c>
      <c r="B14" s="73" t="s">
        <v>49</v>
      </c>
      <c r="C14" s="4" t="s">
        <v>47</v>
      </c>
      <c r="D14" s="275">
        <f t="shared" si="0"/>
        <v>23</v>
      </c>
      <c r="E14" s="301"/>
      <c r="F14" s="301">
        <v>2</v>
      </c>
      <c r="G14" s="301">
        <v>0</v>
      </c>
      <c r="H14" s="301">
        <v>0</v>
      </c>
      <c r="I14" s="301"/>
      <c r="J14" s="301"/>
      <c r="K14" s="301">
        <v>0</v>
      </c>
      <c r="L14" s="309">
        <v>0</v>
      </c>
      <c r="M14" s="301"/>
      <c r="N14" s="301"/>
      <c r="O14" s="301"/>
      <c r="P14" s="301"/>
      <c r="Q14" s="301"/>
      <c r="R14" s="301">
        <v>9</v>
      </c>
      <c r="S14" s="68"/>
      <c r="T14" s="68"/>
      <c r="U14" s="68"/>
      <c r="V14" s="68"/>
      <c r="W14" s="68"/>
      <c r="X14" s="68"/>
      <c r="Y14" s="68"/>
      <c r="Z14" s="68"/>
      <c r="AA14" s="297">
        <v>2</v>
      </c>
      <c r="AB14" s="68"/>
      <c r="AC14" s="68">
        <v>4</v>
      </c>
      <c r="AD14" s="68">
        <v>5</v>
      </c>
      <c r="AE14" s="68"/>
      <c r="AF14" s="68"/>
      <c r="AG14" s="68">
        <v>1</v>
      </c>
    </row>
    <row r="15" spans="1:33" s="5" customFormat="1" ht="12.75" customHeight="1">
      <c r="A15" s="307">
        <v>4</v>
      </c>
      <c r="B15" s="73" t="s">
        <v>48</v>
      </c>
      <c r="C15" s="4" t="s">
        <v>47</v>
      </c>
      <c r="D15" s="275">
        <f t="shared" si="0"/>
        <v>7013</v>
      </c>
      <c r="E15" s="301"/>
      <c r="F15" s="301">
        <v>1570</v>
      </c>
      <c r="G15" s="301">
        <v>242</v>
      </c>
      <c r="H15" s="301">
        <v>367</v>
      </c>
      <c r="I15" s="301"/>
      <c r="J15" s="301"/>
      <c r="K15" s="301">
        <v>38</v>
      </c>
      <c r="L15" s="301">
        <v>1360</v>
      </c>
      <c r="M15" s="301"/>
      <c r="N15" s="301"/>
      <c r="O15" s="301"/>
      <c r="P15" s="301"/>
      <c r="Q15" s="301"/>
      <c r="R15" s="301">
        <v>610</v>
      </c>
      <c r="S15" s="68"/>
      <c r="T15" s="68"/>
      <c r="U15" s="68"/>
      <c r="V15" s="68"/>
      <c r="W15" s="68"/>
      <c r="X15" s="68"/>
      <c r="Y15" s="68"/>
      <c r="Z15" s="68"/>
      <c r="AA15" s="297">
        <v>0</v>
      </c>
      <c r="AB15" s="68"/>
      <c r="AC15" s="68">
        <v>1017</v>
      </c>
      <c r="AD15" s="68">
        <v>1442</v>
      </c>
      <c r="AE15" s="68"/>
      <c r="AF15" s="68"/>
      <c r="AG15" s="68">
        <v>367</v>
      </c>
    </row>
    <row r="16" spans="1:33" s="5" customFormat="1" ht="12.75" customHeight="1">
      <c r="A16" s="901" t="s">
        <v>7</v>
      </c>
      <c r="B16" s="901"/>
      <c r="C16" s="901"/>
      <c r="D16" s="276">
        <f t="shared" si="0"/>
        <v>0</v>
      </c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68"/>
      <c r="T16" s="68"/>
      <c r="U16" s="68"/>
      <c r="V16" s="68"/>
      <c r="W16" s="68"/>
      <c r="X16" s="68"/>
      <c r="Y16" s="68"/>
      <c r="Z16" s="68"/>
      <c r="AA16" s="297"/>
      <c r="AB16" s="68"/>
      <c r="AD16" s="68"/>
      <c r="AE16" s="68"/>
      <c r="AF16" s="68"/>
      <c r="AG16" s="68"/>
    </row>
    <row r="17" spans="1:33" s="5" customFormat="1" ht="12.75" customHeight="1">
      <c r="A17" s="274">
        <v>1</v>
      </c>
      <c r="B17" s="4" t="s">
        <v>15</v>
      </c>
      <c r="C17" s="4" t="s">
        <v>16</v>
      </c>
      <c r="D17" s="275">
        <f>SUM(E17:AG17)</f>
        <v>11426827</v>
      </c>
      <c r="E17" s="301">
        <v>393344</v>
      </c>
      <c r="F17" s="301">
        <v>635231</v>
      </c>
      <c r="G17" s="301">
        <v>403081</v>
      </c>
      <c r="H17" s="301">
        <v>239933</v>
      </c>
      <c r="I17" s="301">
        <v>414557</v>
      </c>
      <c r="J17" s="301">
        <v>334893</v>
      </c>
      <c r="K17" s="301">
        <v>447941</v>
      </c>
      <c r="L17" s="301">
        <v>405578</v>
      </c>
      <c r="M17" s="301">
        <v>339003</v>
      </c>
      <c r="N17" s="301">
        <v>367429</v>
      </c>
      <c r="O17" s="301">
        <v>184577</v>
      </c>
      <c r="P17" s="301">
        <v>565239</v>
      </c>
      <c r="Q17" s="301">
        <v>885569</v>
      </c>
      <c r="R17" s="301">
        <v>327331</v>
      </c>
      <c r="S17" s="68">
        <v>231654</v>
      </c>
      <c r="T17" s="68">
        <v>294947</v>
      </c>
      <c r="U17" s="68">
        <v>517063</v>
      </c>
      <c r="V17" s="68">
        <v>261618</v>
      </c>
      <c r="W17" s="68">
        <v>181427</v>
      </c>
      <c r="X17" s="68">
        <v>304735</v>
      </c>
      <c r="Y17" s="68">
        <v>300100</v>
      </c>
      <c r="Z17" s="68">
        <v>148623</v>
      </c>
      <c r="AA17" s="297">
        <v>656822</v>
      </c>
      <c r="AB17" s="68">
        <v>641182</v>
      </c>
      <c r="AC17" s="68">
        <v>287543</v>
      </c>
      <c r="AD17" s="68">
        <v>720587</v>
      </c>
      <c r="AE17" s="68">
        <v>597669</v>
      </c>
      <c r="AF17" s="68">
        <v>160536</v>
      </c>
      <c r="AG17" s="68">
        <v>178615</v>
      </c>
    </row>
    <row r="18" spans="1:33" s="5" customFormat="1" ht="12.75" customHeight="1">
      <c r="A18" s="274">
        <v>2</v>
      </c>
      <c r="B18" s="4" t="s">
        <v>53</v>
      </c>
      <c r="C18" s="4" t="s">
        <v>16</v>
      </c>
      <c r="D18" s="275">
        <f>SUM(E18:AG18)</f>
        <v>3749486.06</v>
      </c>
      <c r="E18" s="301">
        <f>E19+E22</f>
        <v>242304</v>
      </c>
      <c r="F18" s="301">
        <f>F19+F22+F23</f>
        <v>419499</v>
      </c>
      <c r="G18" s="301">
        <f>G19+G22+G23</f>
        <v>426987.36</v>
      </c>
      <c r="H18" s="301">
        <f aca="true" t="shared" si="4" ref="H18:AG18">H19+H22+H23</f>
        <v>73802.5</v>
      </c>
      <c r="I18" s="301">
        <f t="shared" si="4"/>
        <v>183775</v>
      </c>
      <c r="J18" s="301">
        <f t="shared" si="4"/>
        <v>97498</v>
      </c>
      <c r="K18" s="301">
        <v>254893</v>
      </c>
      <c r="L18" s="301">
        <f>229072+133130</f>
        <v>362202</v>
      </c>
      <c r="M18" s="301">
        <f t="shared" si="4"/>
        <v>93184</v>
      </c>
      <c r="N18" s="301">
        <f t="shared" si="4"/>
        <v>0</v>
      </c>
      <c r="O18" s="301">
        <f t="shared" si="4"/>
        <v>0</v>
      </c>
      <c r="P18" s="301">
        <f t="shared" si="4"/>
        <v>0</v>
      </c>
      <c r="Q18" s="301">
        <f t="shared" si="4"/>
        <v>61683</v>
      </c>
      <c r="R18" s="301"/>
      <c r="S18" s="68">
        <f t="shared" si="4"/>
        <v>0</v>
      </c>
      <c r="T18" s="68">
        <f t="shared" si="4"/>
        <v>0</v>
      </c>
      <c r="U18" s="68">
        <f t="shared" si="4"/>
        <v>2520</v>
      </c>
      <c r="V18" s="68"/>
      <c r="W18" s="68">
        <f t="shared" si="4"/>
        <v>0</v>
      </c>
      <c r="X18" s="68">
        <f t="shared" si="4"/>
        <v>0</v>
      </c>
      <c r="Y18" s="68">
        <v>143924</v>
      </c>
      <c r="Z18" s="68">
        <f t="shared" si="4"/>
        <v>0</v>
      </c>
      <c r="AA18" s="297">
        <f>AA19+AA22+AA23</f>
        <v>288690</v>
      </c>
      <c r="AB18" s="68">
        <f t="shared" si="4"/>
        <v>0</v>
      </c>
      <c r="AC18" s="68">
        <f>AC19+AC22+AC23</f>
        <v>162065.19999999998</v>
      </c>
      <c r="AD18" s="68">
        <v>449025</v>
      </c>
      <c r="AE18" s="68">
        <f t="shared" si="4"/>
        <v>333879</v>
      </c>
      <c r="AF18" s="68">
        <f t="shared" si="4"/>
        <v>0</v>
      </c>
      <c r="AG18" s="68">
        <f t="shared" si="4"/>
        <v>153555</v>
      </c>
    </row>
    <row r="19" spans="1:33" ht="12.75" customHeight="1">
      <c r="A19" s="6" t="s">
        <v>21</v>
      </c>
      <c r="B19" s="10" t="s">
        <v>17</v>
      </c>
      <c r="C19" s="7" t="s">
        <v>16</v>
      </c>
      <c r="D19" s="276">
        <f aca="true" t="shared" si="5" ref="D19:D29">SUM(E19:AG19)</f>
        <v>1656439.58</v>
      </c>
      <c r="E19" s="302">
        <f>E20+E21</f>
        <v>31211</v>
      </c>
      <c r="F19" s="302">
        <f>F20+F21</f>
        <v>30833</v>
      </c>
      <c r="G19" s="302">
        <f>G20+G21</f>
        <v>2797.28</v>
      </c>
      <c r="H19" s="302">
        <f aca="true" t="shared" si="6" ref="H19:AG19">H20+H21</f>
        <v>10258.5</v>
      </c>
      <c r="I19" s="302">
        <f t="shared" si="6"/>
        <v>101439</v>
      </c>
      <c r="J19" s="302">
        <v>49645</v>
      </c>
      <c r="K19" s="302">
        <f>K20+K21</f>
        <v>36208</v>
      </c>
      <c r="L19" s="302">
        <f t="shared" si="6"/>
        <v>38843</v>
      </c>
      <c r="M19" s="302">
        <f t="shared" si="6"/>
        <v>2642</v>
      </c>
      <c r="N19" s="302">
        <f t="shared" si="6"/>
        <v>0</v>
      </c>
      <c r="O19" s="302">
        <f t="shared" si="6"/>
        <v>0</v>
      </c>
      <c r="P19" s="302">
        <f t="shared" si="6"/>
        <v>0</v>
      </c>
      <c r="Q19" s="302">
        <f t="shared" si="6"/>
        <v>48155</v>
      </c>
      <c r="R19" s="302"/>
      <c r="S19" s="69">
        <f t="shared" si="6"/>
        <v>0</v>
      </c>
      <c r="T19" s="69">
        <f t="shared" si="6"/>
        <v>0</v>
      </c>
      <c r="U19" s="91">
        <f>U20+U21</f>
        <v>2520</v>
      </c>
      <c r="V19" s="91"/>
      <c r="W19" s="69">
        <f t="shared" si="6"/>
        <v>0</v>
      </c>
      <c r="X19" s="69">
        <f t="shared" si="6"/>
        <v>0</v>
      </c>
      <c r="Y19" s="69">
        <f>Y20+Y21</f>
        <v>143924</v>
      </c>
      <c r="Z19" s="69">
        <f t="shared" si="6"/>
        <v>0</v>
      </c>
      <c r="AA19" s="298">
        <v>233632</v>
      </c>
      <c r="AB19" s="69">
        <f t="shared" si="6"/>
        <v>0</v>
      </c>
      <c r="AC19" s="69">
        <f t="shared" si="6"/>
        <v>157390.8</v>
      </c>
      <c r="AD19" s="69">
        <f t="shared" si="6"/>
        <v>295630</v>
      </c>
      <c r="AE19" s="69">
        <f t="shared" si="6"/>
        <v>324734</v>
      </c>
      <c r="AF19" s="69">
        <f t="shared" si="6"/>
        <v>0</v>
      </c>
      <c r="AG19" s="69">
        <f t="shared" si="6"/>
        <v>146577</v>
      </c>
    </row>
    <row r="20" spans="1:33" s="60" customFormat="1" ht="12.75" customHeight="1">
      <c r="A20" s="70"/>
      <c r="B20" s="71" t="s">
        <v>18</v>
      </c>
      <c r="C20" s="277" t="s">
        <v>16</v>
      </c>
      <c r="D20" s="278">
        <f t="shared" si="5"/>
        <v>633191.1799999999</v>
      </c>
      <c r="E20" s="303">
        <v>12480</v>
      </c>
      <c r="F20" s="303">
        <v>0</v>
      </c>
      <c r="G20" s="303">
        <v>2797.28</v>
      </c>
      <c r="H20" s="303">
        <v>5147.6</v>
      </c>
      <c r="I20" s="303">
        <v>8485</v>
      </c>
      <c r="J20" s="303"/>
      <c r="K20" s="303"/>
      <c r="L20" s="303">
        <v>28701</v>
      </c>
      <c r="M20" s="303"/>
      <c r="N20" s="303"/>
      <c r="O20" s="303">
        <v>0</v>
      </c>
      <c r="P20" s="303"/>
      <c r="Q20" s="303"/>
      <c r="R20" s="303"/>
      <c r="S20" s="72"/>
      <c r="T20" s="72"/>
      <c r="U20" s="72">
        <v>277.5</v>
      </c>
      <c r="V20" s="72"/>
      <c r="W20" s="72"/>
      <c r="X20" s="72"/>
      <c r="Y20" s="72">
        <v>88873</v>
      </c>
      <c r="Z20" s="72"/>
      <c r="AA20" s="299"/>
      <c r="AB20" s="72"/>
      <c r="AC20" s="72">
        <v>122885.8</v>
      </c>
      <c r="AD20" s="72">
        <v>256257</v>
      </c>
      <c r="AE20" s="72"/>
      <c r="AF20" s="72">
        <v>0</v>
      </c>
      <c r="AG20" s="72">
        <v>107287</v>
      </c>
    </row>
    <row r="21" spans="1:33" s="60" customFormat="1" ht="12.75" customHeight="1">
      <c r="A21" s="70"/>
      <c r="B21" s="71" t="s">
        <v>19</v>
      </c>
      <c r="C21" s="277" t="s">
        <v>16</v>
      </c>
      <c r="D21" s="278">
        <f t="shared" si="5"/>
        <v>739971.4</v>
      </c>
      <c r="E21" s="303">
        <v>18731</v>
      </c>
      <c r="F21" s="303">
        <v>30833</v>
      </c>
      <c r="G21" s="303"/>
      <c r="H21" s="303">
        <v>5110.9</v>
      </c>
      <c r="I21" s="303">
        <v>92954</v>
      </c>
      <c r="J21" s="303"/>
      <c r="K21" s="303">
        <v>36208</v>
      </c>
      <c r="L21" s="303">
        <v>10142</v>
      </c>
      <c r="M21" s="303">
        <v>2642</v>
      </c>
      <c r="N21" s="303"/>
      <c r="O21" s="303">
        <v>0</v>
      </c>
      <c r="P21" s="303"/>
      <c r="Q21" s="303">
        <v>48155</v>
      </c>
      <c r="R21" s="303"/>
      <c r="S21" s="72"/>
      <c r="T21" s="72"/>
      <c r="U21" s="72">
        <v>2242.5</v>
      </c>
      <c r="V21" s="72"/>
      <c r="W21" s="72"/>
      <c r="X21" s="72"/>
      <c r="Y21" s="72">
        <v>55051</v>
      </c>
      <c r="Z21" s="72"/>
      <c r="AA21" s="299"/>
      <c r="AB21" s="72"/>
      <c r="AC21" s="72">
        <v>34505</v>
      </c>
      <c r="AD21" s="72">
        <v>39373</v>
      </c>
      <c r="AE21" s="72">
        <v>324734</v>
      </c>
      <c r="AF21" s="72">
        <v>0</v>
      </c>
      <c r="AG21" s="72">
        <v>39290</v>
      </c>
    </row>
    <row r="22" spans="1:33" ht="12.75" customHeight="1">
      <c r="A22" s="6" t="s">
        <v>22</v>
      </c>
      <c r="B22" s="10" t="s">
        <v>150</v>
      </c>
      <c r="C22" s="7" t="s">
        <v>16</v>
      </c>
      <c r="D22" s="276">
        <f t="shared" si="5"/>
        <v>897293.7200000001</v>
      </c>
      <c r="E22" s="302">
        <f>201267+9826</f>
        <v>211093</v>
      </c>
      <c r="F22" s="302">
        <v>371149</v>
      </c>
      <c r="G22" s="302">
        <v>342.42</v>
      </c>
      <c r="H22" s="302">
        <v>63544</v>
      </c>
      <c r="I22" s="302">
        <v>32470</v>
      </c>
      <c r="J22" s="302">
        <v>21858</v>
      </c>
      <c r="K22" s="302"/>
      <c r="L22" s="302">
        <v>57099</v>
      </c>
      <c r="M22" s="302">
        <v>76427.5</v>
      </c>
      <c r="N22" s="302"/>
      <c r="O22" s="302"/>
      <c r="P22" s="302"/>
      <c r="Q22" s="302">
        <v>13528</v>
      </c>
      <c r="R22" s="302"/>
      <c r="S22" s="69"/>
      <c r="T22" s="69"/>
      <c r="U22" s="69"/>
      <c r="V22" s="69"/>
      <c r="W22" s="69"/>
      <c r="X22" s="69"/>
      <c r="Y22" s="69"/>
      <c r="Z22" s="69"/>
      <c r="AA22" s="298">
        <v>27224</v>
      </c>
      <c r="AB22" s="69"/>
      <c r="AC22" s="69">
        <v>3278.8</v>
      </c>
      <c r="AD22" s="69">
        <v>3157</v>
      </c>
      <c r="AE22" s="69">
        <v>9145</v>
      </c>
      <c r="AF22" s="69"/>
      <c r="AG22" s="69">
        <v>6978</v>
      </c>
    </row>
    <row r="23" spans="1:33" ht="12.75" customHeight="1">
      <c r="A23" s="6" t="s">
        <v>23</v>
      </c>
      <c r="B23" s="10" t="s">
        <v>20</v>
      </c>
      <c r="C23" s="7" t="s">
        <v>16</v>
      </c>
      <c r="D23" s="276">
        <f t="shared" si="5"/>
        <v>929492.7599999999</v>
      </c>
      <c r="E23" s="302"/>
      <c r="F23" s="302">
        <f>F24+F25</f>
        <v>17517</v>
      </c>
      <c r="G23" s="302">
        <f>G24+G25</f>
        <v>423847.66</v>
      </c>
      <c r="H23" s="302">
        <f aca="true" t="shared" si="7" ref="H23:Z23">H24+H25</f>
        <v>0</v>
      </c>
      <c r="I23" s="302">
        <v>49866</v>
      </c>
      <c r="J23" s="302">
        <v>25995</v>
      </c>
      <c r="K23" s="302">
        <v>218685</v>
      </c>
      <c r="L23" s="302">
        <f t="shared" si="7"/>
        <v>0</v>
      </c>
      <c r="M23" s="302">
        <v>14114.5</v>
      </c>
      <c r="N23" s="302">
        <f t="shared" si="7"/>
        <v>0</v>
      </c>
      <c r="O23" s="302">
        <f t="shared" si="7"/>
        <v>0</v>
      </c>
      <c r="P23" s="302">
        <f t="shared" si="7"/>
        <v>0</v>
      </c>
      <c r="Q23" s="302">
        <f t="shared" si="7"/>
        <v>0</v>
      </c>
      <c r="R23" s="302"/>
      <c r="S23" s="69">
        <f t="shared" si="7"/>
        <v>0</v>
      </c>
      <c r="T23" s="69">
        <f t="shared" si="7"/>
        <v>0</v>
      </c>
      <c r="U23" s="69">
        <f t="shared" si="7"/>
        <v>0</v>
      </c>
      <c r="V23" s="69"/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0</v>
      </c>
      <c r="AA23" s="298">
        <v>27834</v>
      </c>
      <c r="AB23" s="69">
        <f aca="true" t="shared" si="8" ref="AB23:AG23">AB24+AB25</f>
        <v>0</v>
      </c>
      <c r="AC23" s="69">
        <f t="shared" si="8"/>
        <v>1395.6</v>
      </c>
      <c r="AD23" s="69">
        <f t="shared" si="8"/>
        <v>150238</v>
      </c>
      <c r="AE23" s="69">
        <f t="shared" si="8"/>
        <v>0</v>
      </c>
      <c r="AF23" s="69">
        <f t="shared" si="8"/>
        <v>0</v>
      </c>
      <c r="AG23" s="69">
        <f t="shared" si="8"/>
        <v>0</v>
      </c>
    </row>
    <row r="24" spans="1:33" s="60" customFormat="1" ht="12.75" customHeight="1">
      <c r="A24" s="70"/>
      <c r="B24" s="71" t="s">
        <v>18</v>
      </c>
      <c r="C24" s="277" t="s">
        <v>16</v>
      </c>
      <c r="D24" s="278">
        <f t="shared" si="5"/>
        <v>151633.6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72"/>
      <c r="T24" s="72"/>
      <c r="U24" s="72"/>
      <c r="V24" s="72"/>
      <c r="W24" s="72"/>
      <c r="X24" s="72"/>
      <c r="Y24" s="72"/>
      <c r="Z24" s="72"/>
      <c r="AA24" s="299"/>
      <c r="AB24" s="72"/>
      <c r="AC24" s="72">
        <v>1395.6</v>
      </c>
      <c r="AD24" s="72">
        <v>150238</v>
      </c>
      <c r="AE24" s="72"/>
      <c r="AF24" s="72"/>
      <c r="AG24" s="72"/>
    </row>
    <row r="25" spans="1:33" s="60" customFormat="1" ht="12.75" customHeight="1">
      <c r="A25" s="70"/>
      <c r="B25" s="71" t="s">
        <v>19</v>
      </c>
      <c r="C25" s="277" t="s">
        <v>16</v>
      </c>
      <c r="D25" s="278">
        <f t="shared" si="5"/>
        <v>660049.6599999999</v>
      </c>
      <c r="E25" s="303"/>
      <c r="F25" s="303">
        <v>17517</v>
      </c>
      <c r="G25" s="303">
        <v>423847.66</v>
      </c>
      <c r="H25" s="303"/>
      <c r="I25" s="303"/>
      <c r="J25" s="303"/>
      <c r="K25" s="303">
        <v>218685</v>
      </c>
      <c r="L25" s="303"/>
      <c r="M25" s="303"/>
      <c r="N25" s="303"/>
      <c r="O25" s="303"/>
      <c r="P25" s="303"/>
      <c r="Q25" s="303"/>
      <c r="R25" s="303"/>
      <c r="S25" s="72"/>
      <c r="T25" s="72"/>
      <c r="U25" s="72"/>
      <c r="V25" s="72"/>
      <c r="W25" s="72"/>
      <c r="X25" s="72"/>
      <c r="Y25" s="72"/>
      <c r="Z25" s="72"/>
      <c r="AA25" s="299"/>
      <c r="AB25" s="72"/>
      <c r="AC25" s="72"/>
      <c r="AD25" s="72"/>
      <c r="AE25" s="72"/>
      <c r="AF25" s="72"/>
      <c r="AG25" s="72"/>
    </row>
    <row r="26" spans="1:33" s="5" customFormat="1" ht="12.75" customHeight="1">
      <c r="A26" s="274">
        <v>3</v>
      </c>
      <c r="B26" s="73" t="s">
        <v>49</v>
      </c>
      <c r="C26" s="4" t="s">
        <v>47</v>
      </c>
      <c r="D26" s="275">
        <f t="shared" si="5"/>
        <v>162</v>
      </c>
      <c r="E26" s="301"/>
      <c r="F26" s="301">
        <v>14</v>
      </c>
      <c r="G26" s="301">
        <v>24</v>
      </c>
      <c r="H26" s="301">
        <v>4</v>
      </c>
      <c r="I26" s="301"/>
      <c r="J26" s="301">
        <v>37</v>
      </c>
      <c r="K26" s="301">
        <v>3</v>
      </c>
      <c r="L26" s="301">
        <v>26</v>
      </c>
      <c r="M26" s="301"/>
      <c r="N26" s="301"/>
      <c r="O26" s="301"/>
      <c r="P26" s="301"/>
      <c r="Q26" s="301">
        <v>26</v>
      </c>
      <c r="R26" s="301">
        <v>22</v>
      </c>
      <c r="S26" s="68"/>
      <c r="T26" s="68"/>
      <c r="U26" s="68"/>
      <c r="V26" s="68"/>
      <c r="W26" s="68"/>
      <c r="X26" s="68"/>
      <c r="Y26" s="68"/>
      <c r="Z26" s="68"/>
      <c r="AA26" s="297">
        <v>2</v>
      </c>
      <c r="AB26" s="68"/>
      <c r="AC26" s="68">
        <v>3</v>
      </c>
      <c r="AD26" s="68">
        <v>0</v>
      </c>
      <c r="AE26" s="68"/>
      <c r="AF26" s="68"/>
      <c r="AG26" s="68">
        <v>1</v>
      </c>
    </row>
    <row r="27" spans="1:33" s="5" customFormat="1" ht="12.75" customHeight="1">
      <c r="A27" s="274">
        <v>4</v>
      </c>
      <c r="B27" s="74" t="s">
        <v>48</v>
      </c>
      <c r="C27" s="4" t="s">
        <v>47</v>
      </c>
      <c r="D27" s="275">
        <f t="shared" si="5"/>
        <v>9030</v>
      </c>
      <c r="E27" s="301"/>
      <c r="F27" s="301">
        <v>1609</v>
      </c>
      <c r="G27" s="301">
        <v>242</v>
      </c>
      <c r="H27" s="301">
        <v>193</v>
      </c>
      <c r="I27" s="301"/>
      <c r="J27" s="301">
        <v>283</v>
      </c>
      <c r="K27" s="301">
        <v>26</v>
      </c>
      <c r="L27" s="301">
        <v>1362</v>
      </c>
      <c r="M27" s="301"/>
      <c r="N27" s="301"/>
      <c r="O27" s="301"/>
      <c r="P27" s="301"/>
      <c r="Q27" s="301">
        <v>1313</v>
      </c>
      <c r="R27" s="301">
        <v>646</v>
      </c>
      <c r="S27" s="68"/>
      <c r="T27" s="68"/>
      <c r="U27" s="68"/>
      <c r="V27" s="68"/>
      <c r="W27" s="68"/>
      <c r="X27" s="68"/>
      <c r="Y27" s="68"/>
      <c r="Z27" s="68"/>
      <c r="AA27" s="297">
        <v>525</v>
      </c>
      <c r="AB27" s="68"/>
      <c r="AC27" s="68">
        <v>855</v>
      </c>
      <c r="AD27" s="68">
        <v>1601</v>
      </c>
      <c r="AE27" s="68"/>
      <c r="AF27" s="68"/>
      <c r="AG27" s="68">
        <v>375</v>
      </c>
    </row>
    <row r="28" spans="1:33" ht="12.75" customHeight="1">
      <c r="A28" s="901" t="s">
        <v>8</v>
      </c>
      <c r="B28" s="901"/>
      <c r="C28" s="901"/>
      <c r="D28" s="276">
        <f t="shared" si="5"/>
        <v>0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69"/>
      <c r="T28" s="69"/>
      <c r="U28" s="69"/>
      <c r="V28" s="69"/>
      <c r="W28" s="69"/>
      <c r="X28" s="69"/>
      <c r="Y28" s="69"/>
      <c r="Z28" s="69"/>
      <c r="AA28" s="298"/>
      <c r="AB28" s="69"/>
      <c r="AC28" s="68"/>
      <c r="AD28" s="69"/>
      <c r="AE28" s="69"/>
      <c r="AF28" s="69"/>
      <c r="AG28" s="69"/>
    </row>
    <row r="29" spans="1:33" s="5" customFormat="1" ht="12.75" customHeight="1">
      <c r="A29" s="274">
        <v>1</v>
      </c>
      <c r="B29" s="4" t="s">
        <v>15</v>
      </c>
      <c r="C29" s="4" t="s">
        <v>16</v>
      </c>
      <c r="D29" s="275">
        <f t="shared" si="5"/>
        <v>11454476</v>
      </c>
      <c r="E29" s="301">
        <v>400027</v>
      </c>
      <c r="F29" s="301">
        <v>635935</v>
      </c>
      <c r="G29" s="301">
        <v>409901</v>
      </c>
      <c r="H29" s="301">
        <v>243953</v>
      </c>
      <c r="I29" s="301">
        <v>407779</v>
      </c>
      <c r="J29" s="301">
        <v>334305</v>
      </c>
      <c r="K29" s="301">
        <v>437228</v>
      </c>
      <c r="L29" s="301">
        <v>408551</v>
      </c>
      <c r="M29" s="301">
        <v>339485</v>
      </c>
      <c r="N29" s="301">
        <v>368888</v>
      </c>
      <c r="O29" s="301">
        <v>184606</v>
      </c>
      <c r="P29" s="301">
        <v>576454</v>
      </c>
      <c r="Q29" s="301">
        <v>889905</v>
      </c>
      <c r="R29" s="301">
        <v>336311</v>
      </c>
      <c r="S29" s="68">
        <v>236032</v>
      </c>
      <c r="T29" s="68">
        <v>296076</v>
      </c>
      <c r="U29" s="68">
        <v>546232</v>
      </c>
      <c r="V29" s="68">
        <v>277860</v>
      </c>
      <c r="W29" s="68">
        <v>181994</v>
      </c>
      <c r="X29" s="68">
        <v>311858</v>
      </c>
      <c r="Y29" s="68">
        <v>295550</v>
      </c>
      <c r="Z29" s="68">
        <v>148663</v>
      </c>
      <c r="AA29" s="297">
        <v>656646</v>
      </c>
      <c r="AB29" s="68">
        <v>641182</v>
      </c>
      <c r="AC29" s="68">
        <v>230599</v>
      </c>
      <c r="AD29" s="68">
        <v>719894</v>
      </c>
      <c r="AE29" s="68">
        <v>600360</v>
      </c>
      <c r="AF29" s="68">
        <v>160264</v>
      </c>
      <c r="AG29" s="68">
        <v>177938</v>
      </c>
    </row>
    <row r="30" spans="1:33" s="5" customFormat="1" ht="12.75" customHeight="1">
      <c r="A30" s="274">
        <v>2</v>
      </c>
      <c r="B30" s="4" t="s">
        <v>53</v>
      </c>
      <c r="C30" s="4" t="s">
        <v>16</v>
      </c>
      <c r="D30" s="275">
        <f>SUM(E30:AG30)</f>
        <v>4758720.01</v>
      </c>
      <c r="E30" s="301">
        <f>E31+E34</f>
        <v>242304</v>
      </c>
      <c r="F30" s="301">
        <f>F31+F34+F35</f>
        <v>416278</v>
      </c>
      <c r="G30" s="301">
        <f>G31+G34+G35</f>
        <v>424053.31</v>
      </c>
      <c r="H30" s="301">
        <f>H31+H34+H35</f>
        <v>73801.6</v>
      </c>
      <c r="I30" s="301">
        <f aca="true" t="shared" si="9" ref="I30:AG30">I31+I34+I35</f>
        <v>171595</v>
      </c>
      <c r="J30" s="301">
        <f t="shared" si="9"/>
        <v>127734</v>
      </c>
      <c r="K30" s="301">
        <v>256300</v>
      </c>
      <c r="L30" s="301">
        <f>229072+133130</f>
        <v>362202</v>
      </c>
      <c r="M30" s="301">
        <f t="shared" si="9"/>
        <v>93184</v>
      </c>
      <c r="N30" s="301">
        <f t="shared" si="9"/>
        <v>0</v>
      </c>
      <c r="O30" s="301">
        <f t="shared" si="9"/>
        <v>636.9</v>
      </c>
      <c r="P30" s="301">
        <f t="shared" si="9"/>
        <v>43015</v>
      </c>
      <c r="Q30" s="301">
        <f t="shared" si="9"/>
        <v>315542</v>
      </c>
      <c r="R30" s="301"/>
      <c r="S30" s="68">
        <f t="shared" si="9"/>
        <v>0</v>
      </c>
      <c r="T30" s="68">
        <v>123760</v>
      </c>
      <c r="U30" s="68">
        <f t="shared" si="9"/>
        <v>177281</v>
      </c>
      <c r="V30" s="68">
        <v>20000</v>
      </c>
      <c r="W30" s="68">
        <f t="shared" si="9"/>
        <v>0</v>
      </c>
      <c r="X30" s="68">
        <f t="shared" si="9"/>
        <v>0</v>
      </c>
      <c r="Y30" s="68">
        <v>143924</v>
      </c>
      <c r="Z30" s="68">
        <f t="shared" si="9"/>
        <v>100792</v>
      </c>
      <c r="AA30" s="297">
        <f>AA31+AA34+AA35</f>
        <v>324921</v>
      </c>
      <c r="AB30" s="68">
        <f t="shared" si="9"/>
        <v>222240</v>
      </c>
      <c r="AC30" s="68">
        <f t="shared" si="9"/>
        <v>162065.19999999998</v>
      </c>
      <c r="AD30" s="68">
        <v>448751</v>
      </c>
      <c r="AE30" s="68">
        <f t="shared" si="9"/>
        <v>311334</v>
      </c>
      <c r="AF30" s="68">
        <f t="shared" si="9"/>
        <v>43451</v>
      </c>
      <c r="AG30" s="68">
        <f t="shared" si="9"/>
        <v>153555</v>
      </c>
    </row>
    <row r="31" spans="1:33" ht="12.75" customHeight="1">
      <c r="A31" s="6" t="s">
        <v>21</v>
      </c>
      <c r="B31" s="10" t="s">
        <v>17</v>
      </c>
      <c r="C31" s="7" t="s">
        <v>16</v>
      </c>
      <c r="D31" s="276">
        <f aca="true" t="shared" si="10" ref="D31:D39">SUM(E31:AG31)</f>
        <v>2423175.9800000004</v>
      </c>
      <c r="E31" s="302">
        <f>E32+E33</f>
        <v>31211</v>
      </c>
      <c r="F31" s="302">
        <f>F32+F33</f>
        <v>34761</v>
      </c>
      <c r="G31" s="302">
        <f>G32+G33</f>
        <v>5965.68</v>
      </c>
      <c r="H31" s="302">
        <f aca="true" t="shared" si="11" ref="H31:AG31">H32+H33</f>
        <v>10257.6</v>
      </c>
      <c r="I31" s="302">
        <f t="shared" si="11"/>
        <v>102768</v>
      </c>
      <c r="J31" s="302">
        <v>73672</v>
      </c>
      <c r="K31" s="302">
        <f t="shared" si="11"/>
        <v>36250</v>
      </c>
      <c r="L31" s="302">
        <f t="shared" si="11"/>
        <v>38843</v>
      </c>
      <c r="M31" s="302">
        <f t="shared" si="11"/>
        <v>2642</v>
      </c>
      <c r="N31" s="302">
        <f t="shared" si="11"/>
        <v>0</v>
      </c>
      <c r="O31" s="302">
        <f t="shared" si="11"/>
        <v>636.9</v>
      </c>
      <c r="P31" s="302">
        <f t="shared" si="11"/>
        <v>28512</v>
      </c>
      <c r="Q31" s="302">
        <f>Q32+Q33</f>
        <v>235523</v>
      </c>
      <c r="R31" s="302"/>
      <c r="S31" s="69">
        <f t="shared" si="11"/>
        <v>0</v>
      </c>
      <c r="T31" s="69">
        <f t="shared" si="11"/>
        <v>0</v>
      </c>
      <c r="U31" s="69">
        <f t="shared" si="11"/>
        <v>156981</v>
      </c>
      <c r="V31" s="69"/>
      <c r="W31" s="69">
        <f t="shared" si="11"/>
        <v>0</v>
      </c>
      <c r="X31" s="69">
        <f t="shared" si="11"/>
        <v>0</v>
      </c>
      <c r="Y31" s="69">
        <f>Y32+Y33</f>
        <v>143924</v>
      </c>
      <c r="Z31" s="69">
        <f t="shared" si="11"/>
        <v>100792</v>
      </c>
      <c r="AA31" s="298">
        <f t="shared" si="11"/>
        <v>269888</v>
      </c>
      <c r="AB31" s="69">
        <f t="shared" si="11"/>
        <v>205294</v>
      </c>
      <c r="AC31" s="69">
        <f t="shared" si="11"/>
        <v>157390.8</v>
      </c>
      <c r="AD31" s="69">
        <f t="shared" si="11"/>
        <v>295356</v>
      </c>
      <c r="AE31" s="69">
        <f t="shared" si="11"/>
        <v>302480</v>
      </c>
      <c r="AF31" s="69">
        <f t="shared" si="11"/>
        <v>43451</v>
      </c>
      <c r="AG31" s="69">
        <f t="shared" si="11"/>
        <v>146577</v>
      </c>
    </row>
    <row r="32" spans="1:33" s="60" customFormat="1" ht="12.75" customHeight="1">
      <c r="A32" s="70"/>
      <c r="B32" s="71" t="s">
        <v>18</v>
      </c>
      <c r="C32" s="277" t="s">
        <v>16</v>
      </c>
      <c r="D32" s="278">
        <f t="shared" si="10"/>
        <v>1183046.08</v>
      </c>
      <c r="E32" s="303">
        <v>12480</v>
      </c>
      <c r="F32" s="303">
        <v>0</v>
      </c>
      <c r="G32" s="303">
        <v>5965.68</v>
      </c>
      <c r="H32" s="303">
        <v>5147.6</v>
      </c>
      <c r="I32" s="303">
        <v>8207</v>
      </c>
      <c r="J32" s="303"/>
      <c r="K32" s="303"/>
      <c r="L32" s="303">
        <v>28701</v>
      </c>
      <c r="M32" s="303"/>
      <c r="N32" s="303"/>
      <c r="O32" s="303">
        <v>118</v>
      </c>
      <c r="P32" s="303">
        <v>7566</v>
      </c>
      <c r="Q32" s="303">
        <f>235523-Q33</f>
        <v>187368</v>
      </c>
      <c r="R32" s="303"/>
      <c r="S32" s="72"/>
      <c r="T32" s="72"/>
      <c r="U32" s="72">
        <v>23400</v>
      </c>
      <c r="V32" s="72"/>
      <c r="W32" s="72"/>
      <c r="X32" s="72"/>
      <c r="Y32" s="72">
        <v>88873</v>
      </c>
      <c r="Z32" s="72">
        <v>82134</v>
      </c>
      <c r="AA32" s="299">
        <v>141421</v>
      </c>
      <c r="AB32" s="72">
        <v>112463</v>
      </c>
      <c r="AC32" s="72">
        <v>122885.8</v>
      </c>
      <c r="AD32" s="72">
        <v>231723</v>
      </c>
      <c r="AE32" s="72"/>
      <c r="AF32" s="72">
        <v>17306</v>
      </c>
      <c r="AG32" s="72">
        <v>107287</v>
      </c>
    </row>
    <row r="33" spans="1:33" s="60" customFormat="1" ht="12.75" customHeight="1">
      <c r="A33" s="70"/>
      <c r="B33" s="71" t="s">
        <v>19</v>
      </c>
      <c r="C33" s="277" t="s">
        <v>16</v>
      </c>
      <c r="D33" s="278">
        <f t="shared" si="10"/>
        <v>1166457.9</v>
      </c>
      <c r="E33" s="303">
        <v>18731</v>
      </c>
      <c r="F33" s="303">
        <v>34761</v>
      </c>
      <c r="G33" s="303"/>
      <c r="H33" s="303">
        <v>5110</v>
      </c>
      <c r="I33" s="303">
        <v>94561</v>
      </c>
      <c r="J33" s="303"/>
      <c r="K33" s="303">
        <v>36250</v>
      </c>
      <c r="L33" s="303">
        <v>10142</v>
      </c>
      <c r="M33" s="303">
        <v>2642</v>
      </c>
      <c r="N33" s="303"/>
      <c r="O33" s="303">
        <v>518.9</v>
      </c>
      <c r="P33" s="303">
        <v>20946</v>
      </c>
      <c r="Q33" s="303">
        <v>48155</v>
      </c>
      <c r="R33" s="303"/>
      <c r="S33" s="72"/>
      <c r="T33" s="72"/>
      <c r="U33" s="72">
        <v>133581</v>
      </c>
      <c r="V33" s="72"/>
      <c r="W33" s="72"/>
      <c r="X33" s="72"/>
      <c r="Y33" s="72">
        <v>55051</v>
      </c>
      <c r="Z33" s="72">
        <v>18658</v>
      </c>
      <c r="AA33" s="299">
        <v>128467</v>
      </c>
      <c r="AB33" s="72">
        <v>92831</v>
      </c>
      <c r="AC33" s="72">
        <v>34505</v>
      </c>
      <c r="AD33" s="72">
        <v>63633</v>
      </c>
      <c r="AE33" s="72">
        <v>302480</v>
      </c>
      <c r="AF33" s="72">
        <v>26145</v>
      </c>
      <c r="AG33" s="72">
        <v>39290</v>
      </c>
    </row>
    <row r="34" spans="1:33" ht="12.75" customHeight="1">
      <c r="A34" s="6" t="s">
        <v>22</v>
      </c>
      <c r="B34" s="10" t="s">
        <v>150</v>
      </c>
      <c r="C34" s="7" t="s">
        <v>16</v>
      </c>
      <c r="D34" s="276">
        <f t="shared" si="10"/>
        <v>953515.38</v>
      </c>
      <c r="E34" s="302">
        <f>201267+9826</f>
        <v>211093</v>
      </c>
      <c r="F34" s="302">
        <v>364000</v>
      </c>
      <c r="G34" s="302">
        <v>367.08</v>
      </c>
      <c r="H34" s="302">
        <v>63544</v>
      </c>
      <c r="I34" s="302">
        <v>24350</v>
      </c>
      <c r="J34" s="302">
        <v>25723</v>
      </c>
      <c r="K34" s="302"/>
      <c r="L34" s="302">
        <v>57099</v>
      </c>
      <c r="M34" s="302">
        <v>76427.5</v>
      </c>
      <c r="N34" s="302"/>
      <c r="O34" s="302"/>
      <c r="P34" s="302">
        <v>10065</v>
      </c>
      <c r="Q34" s="302">
        <v>52953</v>
      </c>
      <c r="R34" s="302"/>
      <c r="S34" s="69"/>
      <c r="T34" s="69"/>
      <c r="U34" s="69"/>
      <c r="V34" s="69"/>
      <c r="W34" s="69"/>
      <c r="X34" s="69"/>
      <c r="Y34" s="69"/>
      <c r="Z34" s="69"/>
      <c r="AA34" s="298">
        <v>37861</v>
      </c>
      <c r="AB34" s="69">
        <v>7765</v>
      </c>
      <c r="AC34" s="69">
        <v>3278.8</v>
      </c>
      <c r="AD34" s="69">
        <v>3157</v>
      </c>
      <c r="AE34" s="69">
        <v>8854</v>
      </c>
      <c r="AF34" s="69"/>
      <c r="AG34" s="69">
        <v>6978</v>
      </c>
    </row>
    <row r="35" spans="1:33" ht="12.75" customHeight="1">
      <c r="A35" s="6" t="s">
        <v>23</v>
      </c>
      <c r="B35" s="10" t="s">
        <v>20</v>
      </c>
      <c r="C35" s="7" t="s">
        <v>16</v>
      </c>
      <c r="D35" s="276">
        <f t="shared" si="10"/>
        <v>972009.65</v>
      </c>
      <c r="E35" s="302"/>
      <c r="F35" s="302">
        <f>F36+F37</f>
        <v>17517</v>
      </c>
      <c r="G35" s="302">
        <f>G36+G37</f>
        <v>417720.55</v>
      </c>
      <c r="H35" s="302">
        <f aca="true" t="shared" si="12" ref="H35:AG35">H36+H37</f>
        <v>0</v>
      </c>
      <c r="I35" s="302">
        <v>44477</v>
      </c>
      <c r="J35" s="302">
        <v>28339</v>
      </c>
      <c r="K35" s="302">
        <f t="shared" si="12"/>
        <v>220051</v>
      </c>
      <c r="L35" s="302">
        <f t="shared" si="12"/>
        <v>0</v>
      </c>
      <c r="M35" s="302">
        <v>14114.5</v>
      </c>
      <c r="N35" s="302">
        <f t="shared" si="12"/>
        <v>0</v>
      </c>
      <c r="O35" s="302">
        <f t="shared" si="12"/>
        <v>0</v>
      </c>
      <c r="P35" s="302">
        <v>4438</v>
      </c>
      <c r="Q35" s="302">
        <v>27066</v>
      </c>
      <c r="R35" s="302"/>
      <c r="S35" s="69">
        <f t="shared" si="12"/>
        <v>0</v>
      </c>
      <c r="T35" s="69">
        <f t="shared" si="12"/>
        <v>0</v>
      </c>
      <c r="U35" s="69">
        <v>20300</v>
      </c>
      <c r="V35" s="69"/>
      <c r="W35" s="69">
        <f t="shared" si="12"/>
        <v>0</v>
      </c>
      <c r="X35" s="69">
        <f t="shared" si="12"/>
        <v>0</v>
      </c>
      <c r="Y35" s="69">
        <f t="shared" si="12"/>
        <v>0</v>
      </c>
      <c r="Z35" s="69">
        <f t="shared" si="12"/>
        <v>0</v>
      </c>
      <c r="AA35" s="298">
        <f t="shared" si="12"/>
        <v>17172</v>
      </c>
      <c r="AB35" s="69">
        <f t="shared" si="12"/>
        <v>9181</v>
      </c>
      <c r="AC35" s="69">
        <f t="shared" si="12"/>
        <v>1395.6</v>
      </c>
      <c r="AD35" s="69">
        <f t="shared" si="12"/>
        <v>150238</v>
      </c>
      <c r="AE35" s="69">
        <f t="shared" si="12"/>
        <v>0</v>
      </c>
      <c r="AF35" s="69">
        <f t="shared" si="12"/>
        <v>0</v>
      </c>
      <c r="AG35" s="69">
        <f t="shared" si="12"/>
        <v>0</v>
      </c>
    </row>
    <row r="36" spans="1:33" s="60" customFormat="1" ht="12.75" customHeight="1">
      <c r="A36" s="70"/>
      <c r="B36" s="71" t="s">
        <v>18</v>
      </c>
      <c r="C36" s="277" t="s">
        <v>16</v>
      </c>
      <c r="D36" s="278">
        <f t="shared" si="10"/>
        <v>176050.6</v>
      </c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72"/>
      <c r="T36" s="72"/>
      <c r="U36" s="72"/>
      <c r="V36" s="72"/>
      <c r="W36" s="72"/>
      <c r="X36" s="72"/>
      <c r="Y36" s="72"/>
      <c r="Z36" s="72"/>
      <c r="AA36" s="299">
        <v>15236</v>
      </c>
      <c r="AB36" s="72">
        <v>9181</v>
      </c>
      <c r="AC36" s="72">
        <v>1395.6</v>
      </c>
      <c r="AD36" s="72">
        <v>150238</v>
      </c>
      <c r="AE36" s="72"/>
      <c r="AF36" s="72"/>
      <c r="AG36" s="72"/>
    </row>
    <row r="37" spans="1:33" s="60" customFormat="1" ht="12.75" customHeight="1">
      <c r="A37" s="279"/>
      <c r="B37" s="75" t="s">
        <v>19</v>
      </c>
      <c r="C37" s="280" t="s">
        <v>16</v>
      </c>
      <c r="D37" s="278">
        <f t="shared" si="10"/>
        <v>661662.55</v>
      </c>
      <c r="E37" s="303"/>
      <c r="F37" s="303">
        <v>17517</v>
      </c>
      <c r="G37" s="303">
        <v>417720.55</v>
      </c>
      <c r="H37" s="303"/>
      <c r="I37" s="303"/>
      <c r="J37" s="303"/>
      <c r="K37" s="303">
        <v>220051</v>
      </c>
      <c r="L37" s="303"/>
      <c r="M37" s="303"/>
      <c r="N37" s="303"/>
      <c r="O37" s="303"/>
      <c r="P37" s="303">
        <v>4438</v>
      </c>
      <c r="Q37" s="303"/>
      <c r="R37" s="303"/>
      <c r="S37" s="72"/>
      <c r="T37" s="72"/>
      <c r="U37" s="72"/>
      <c r="V37" s="72"/>
      <c r="W37" s="72"/>
      <c r="X37" s="72"/>
      <c r="Y37" s="72"/>
      <c r="Z37" s="72"/>
      <c r="AA37" s="299">
        <v>1936</v>
      </c>
      <c r="AB37" s="72"/>
      <c r="AC37" s="72"/>
      <c r="AD37" s="72"/>
      <c r="AE37" s="72"/>
      <c r="AF37" s="72"/>
      <c r="AG37" s="72"/>
    </row>
    <row r="38" spans="1:33" s="5" customFormat="1" ht="12.75" customHeight="1">
      <c r="A38" s="274">
        <v>3</v>
      </c>
      <c r="B38" s="73" t="s">
        <v>49</v>
      </c>
      <c r="C38" s="4" t="s">
        <v>47</v>
      </c>
      <c r="D38" s="275">
        <f t="shared" si="10"/>
        <v>87</v>
      </c>
      <c r="E38" s="301"/>
      <c r="F38" s="301">
        <v>17</v>
      </c>
      <c r="G38" s="301">
        <v>7</v>
      </c>
      <c r="H38" s="301">
        <v>2</v>
      </c>
      <c r="I38" s="301"/>
      <c r="J38" s="301">
        <v>2</v>
      </c>
      <c r="K38" s="301">
        <v>2</v>
      </c>
      <c r="L38" s="301">
        <v>0</v>
      </c>
      <c r="M38" s="301">
        <v>3</v>
      </c>
      <c r="N38" s="301"/>
      <c r="O38" s="301"/>
      <c r="P38" s="301">
        <v>0</v>
      </c>
      <c r="Q38" s="301">
        <v>19</v>
      </c>
      <c r="R38" s="301">
        <v>1</v>
      </c>
      <c r="S38" s="68"/>
      <c r="T38" s="68"/>
      <c r="U38" s="68"/>
      <c r="V38" s="68"/>
      <c r="W38" s="68"/>
      <c r="X38" s="68"/>
      <c r="Y38" s="68"/>
      <c r="Z38" s="68"/>
      <c r="AA38" s="297">
        <v>2</v>
      </c>
      <c r="AB38" s="68"/>
      <c r="AC38" s="68">
        <v>7</v>
      </c>
      <c r="AD38" s="68">
        <v>4</v>
      </c>
      <c r="AE38" s="68"/>
      <c r="AF38" s="68">
        <v>18</v>
      </c>
      <c r="AG38" s="68">
        <v>3</v>
      </c>
    </row>
    <row r="39" spans="1:33" s="5" customFormat="1" ht="12.75" customHeight="1">
      <c r="A39" s="274">
        <v>4</v>
      </c>
      <c r="B39" s="73" t="s">
        <v>48</v>
      </c>
      <c r="C39" s="4" t="s">
        <v>47</v>
      </c>
      <c r="D39" s="275">
        <f t="shared" si="10"/>
        <v>7104</v>
      </c>
      <c r="E39" s="301"/>
      <c r="F39" s="301">
        <v>957</v>
      </c>
      <c r="G39" s="301">
        <v>242</v>
      </c>
      <c r="H39" s="301">
        <v>187</v>
      </c>
      <c r="I39" s="301"/>
      <c r="J39" s="301">
        <v>127</v>
      </c>
      <c r="K39" s="301">
        <v>23</v>
      </c>
      <c r="L39" s="301">
        <v>1113</v>
      </c>
      <c r="M39" s="301">
        <v>94</v>
      </c>
      <c r="N39" s="301"/>
      <c r="O39" s="301"/>
      <c r="P39" s="301">
        <v>0</v>
      </c>
      <c r="Q39" s="301">
        <v>1141</v>
      </c>
      <c r="R39" s="301">
        <v>473</v>
      </c>
      <c r="S39" s="68"/>
      <c r="T39" s="68"/>
      <c r="U39" s="68"/>
      <c r="V39" s="68"/>
      <c r="W39" s="68"/>
      <c r="X39" s="68"/>
      <c r="Y39" s="68"/>
      <c r="Z39" s="68"/>
      <c r="AA39" s="297">
        <v>356</v>
      </c>
      <c r="AB39" s="68"/>
      <c r="AC39" s="68">
        <v>747</v>
      </c>
      <c r="AD39" s="68">
        <v>1227</v>
      </c>
      <c r="AE39" s="68"/>
      <c r="AF39" s="68">
        <v>48</v>
      </c>
      <c r="AG39" s="68">
        <v>369</v>
      </c>
    </row>
    <row r="40" spans="5:33" ht="12.75"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61"/>
      <c r="T40" s="61"/>
      <c r="U40" s="61"/>
      <c r="V40" s="61"/>
      <c r="W40" s="61"/>
      <c r="X40" s="61"/>
      <c r="Y40" s="61"/>
      <c r="Z40" s="61"/>
      <c r="AA40" s="300"/>
      <c r="AB40" s="61"/>
      <c r="AC40" s="61"/>
      <c r="AD40" s="61"/>
      <c r="AE40" s="61"/>
      <c r="AF40" s="61"/>
      <c r="AG40" s="61"/>
    </row>
    <row r="41" spans="5:33" ht="12.75"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61"/>
      <c r="T41" s="61"/>
      <c r="U41" s="61"/>
      <c r="V41" s="61"/>
      <c r="W41" s="61"/>
      <c r="X41" s="61"/>
      <c r="Y41" s="61"/>
      <c r="Z41" s="61"/>
      <c r="AA41" s="300"/>
      <c r="AB41" s="61"/>
      <c r="AC41" s="61"/>
      <c r="AD41" s="61"/>
      <c r="AE41" s="61"/>
      <c r="AF41" s="61"/>
      <c r="AG41" s="61"/>
    </row>
    <row r="42" spans="5:33" ht="12.75"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61"/>
      <c r="T42" s="61"/>
      <c r="U42" s="61"/>
      <c r="V42" s="61"/>
      <c r="W42" s="61"/>
      <c r="X42" s="61"/>
      <c r="Y42" s="61"/>
      <c r="Z42" s="61"/>
      <c r="AA42" s="300"/>
      <c r="AB42" s="61"/>
      <c r="AC42" s="61"/>
      <c r="AD42" s="61"/>
      <c r="AE42" s="61"/>
      <c r="AF42" s="61"/>
      <c r="AG42" s="61"/>
    </row>
    <row r="43" spans="5:33" ht="12.75"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61"/>
      <c r="T43" s="61"/>
      <c r="U43" s="61"/>
      <c r="V43" s="61"/>
      <c r="W43" s="61"/>
      <c r="X43" s="61"/>
      <c r="Y43" s="61"/>
      <c r="Z43" s="61"/>
      <c r="AA43" s="300"/>
      <c r="AB43" s="61"/>
      <c r="AC43" s="61"/>
      <c r="AD43" s="61"/>
      <c r="AE43" s="61"/>
      <c r="AF43" s="61"/>
      <c r="AG43" s="61"/>
    </row>
    <row r="44" spans="5:33" ht="12.75"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61"/>
      <c r="T44" s="61"/>
      <c r="U44" s="61"/>
      <c r="V44" s="61"/>
      <c r="W44" s="61"/>
      <c r="X44" s="61"/>
      <c r="Y44" s="61"/>
      <c r="Z44" s="61"/>
      <c r="AA44" s="300"/>
      <c r="AB44" s="61"/>
      <c r="AC44" s="61"/>
      <c r="AD44" s="61"/>
      <c r="AE44" s="61"/>
      <c r="AF44" s="61"/>
      <c r="AG44" s="61"/>
    </row>
    <row r="45" spans="5:33" ht="12.75"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61"/>
      <c r="T45" s="61"/>
      <c r="U45" s="61"/>
      <c r="V45" s="61"/>
      <c r="W45" s="61"/>
      <c r="X45" s="61"/>
      <c r="Y45" s="61"/>
      <c r="Z45" s="61"/>
      <c r="AA45" s="300"/>
      <c r="AB45" s="61"/>
      <c r="AC45" s="61"/>
      <c r="AD45" s="61"/>
      <c r="AE45" s="61"/>
      <c r="AF45" s="61"/>
      <c r="AG45" s="61"/>
    </row>
    <row r="46" spans="5:33" ht="12.75"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61"/>
      <c r="T46" s="61"/>
      <c r="U46" s="61"/>
      <c r="V46" s="61"/>
      <c r="W46" s="61"/>
      <c r="X46" s="61"/>
      <c r="Y46" s="61"/>
      <c r="Z46" s="61"/>
      <c r="AA46" s="300"/>
      <c r="AB46" s="61"/>
      <c r="AC46" s="61"/>
      <c r="AD46" s="61"/>
      <c r="AE46" s="61"/>
      <c r="AF46" s="61"/>
      <c r="AG46" s="61"/>
    </row>
    <row r="47" spans="5:33" ht="12.75"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61"/>
      <c r="T47" s="61"/>
      <c r="U47" s="61"/>
      <c r="V47" s="61"/>
      <c r="W47" s="61"/>
      <c r="X47" s="61"/>
      <c r="Y47" s="61"/>
      <c r="Z47" s="61"/>
      <c r="AA47" s="300"/>
      <c r="AB47" s="61"/>
      <c r="AC47" s="61"/>
      <c r="AD47" s="61"/>
      <c r="AE47" s="61"/>
      <c r="AF47" s="61"/>
      <c r="AG47" s="61"/>
    </row>
  </sheetData>
  <sheetProtection/>
  <mergeCells count="13">
    <mergeCell ref="A28:C28"/>
    <mergeCell ref="P2:T2"/>
    <mergeCell ref="U2:Z2"/>
    <mergeCell ref="AA2:AE2"/>
    <mergeCell ref="B2:B3"/>
    <mergeCell ref="C2:C3"/>
    <mergeCell ref="A2:A3"/>
    <mergeCell ref="D2:D3"/>
    <mergeCell ref="AF2:AG2"/>
    <mergeCell ref="A4:C4"/>
    <mergeCell ref="A16:C16"/>
    <mergeCell ref="E2:H2"/>
    <mergeCell ref="I2:O2"/>
  </mergeCells>
  <printOptions horizontalCentered="1"/>
  <pageMargins left="0.2" right="0.2" top="0.75" bottom="0.25" header="0.3" footer="0.3"/>
  <pageSetup horizontalDpi="600" verticalDpi="600" orientation="landscape" r:id="rId3"/>
  <headerFooter>
    <oddHeader>&amp;C&amp;"Time new roman,Bold"&amp;10Phụ biểu 13. Tổng hợp diện tích có cung ứng DVMTR trên toàn quốc qua các năm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47"/>
  <sheetViews>
    <sheetView zoomScale="115" zoomScaleNormal="115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24" sqref="AA24"/>
    </sheetView>
  </sheetViews>
  <sheetFormatPr defaultColWidth="9.140625" defaultRowHeight="35.25" customHeight="1"/>
  <cols>
    <col min="1" max="1" width="5.00390625" style="14" customWidth="1"/>
    <col min="2" max="2" width="10.8515625" style="14" customWidth="1"/>
    <col min="3" max="3" width="4.57421875" style="14" customWidth="1"/>
    <col min="4" max="4" width="5.140625" style="14" customWidth="1"/>
    <col min="5" max="5" width="4.421875" style="14" customWidth="1"/>
    <col min="6" max="6" width="4.57421875" style="14" customWidth="1"/>
    <col min="7" max="7" width="6.140625" style="14" customWidth="1"/>
    <col min="8" max="9" width="6.28125" style="14" customWidth="1"/>
    <col min="10" max="10" width="9.28125" style="14" customWidth="1"/>
    <col min="11" max="11" width="6.7109375" style="14" customWidth="1"/>
    <col min="12" max="12" width="6.28125" style="14" customWidth="1"/>
    <col min="13" max="14" width="4.140625" style="14" customWidth="1"/>
    <col min="15" max="15" width="7.8515625" style="14" customWidth="1"/>
    <col min="16" max="16" width="4.7109375" style="14" customWidth="1"/>
    <col min="17" max="17" width="5.8515625" style="14" customWidth="1"/>
    <col min="18" max="18" width="6.28125" style="14" customWidth="1"/>
    <col min="19" max="19" width="4.57421875" style="14" customWidth="1"/>
    <col min="20" max="20" width="5.8515625" style="14" customWidth="1"/>
    <col min="21" max="21" width="7.28125" style="14" customWidth="1"/>
    <col min="22" max="22" width="6.7109375" style="14" customWidth="1"/>
    <col min="23" max="23" width="6.421875" style="14" customWidth="1"/>
    <col min="24" max="24" width="7.421875" style="14" customWidth="1"/>
    <col min="25" max="25" width="7.57421875" style="14" customWidth="1"/>
    <col min="26" max="26" width="5.7109375" style="14" customWidth="1"/>
    <col min="27" max="27" width="7.7109375" style="14" customWidth="1"/>
    <col min="28" max="28" width="9.140625" style="14" customWidth="1"/>
    <col min="29" max="29" width="7.00390625" style="14" customWidth="1"/>
    <col min="30" max="30" width="8.00390625" style="14" customWidth="1"/>
    <col min="31" max="31" width="8.140625" style="14" customWidth="1"/>
    <col min="32" max="32" width="7.00390625" style="14" customWidth="1"/>
    <col min="33" max="33" width="7.421875" style="14" customWidth="1"/>
    <col min="34" max="212" width="9.140625" style="14" customWidth="1"/>
    <col min="213" max="213" width="4.8515625" style="14" customWidth="1"/>
    <col min="214" max="214" width="11.7109375" style="14" customWidth="1"/>
    <col min="215" max="215" width="11.421875" style="14" customWidth="1"/>
    <col min="216" max="216" width="12.7109375" style="14" customWidth="1"/>
    <col min="217" max="217" width="9.57421875" style="14" customWidth="1"/>
    <col min="218" max="219" width="10.140625" style="14" customWidth="1"/>
    <col min="220" max="220" width="10.57421875" style="14" customWidth="1"/>
    <col min="221" max="221" width="7.7109375" style="14" customWidth="1"/>
    <col min="222" max="222" width="9.140625" style="14" customWidth="1"/>
    <col min="223" max="223" width="7.8515625" style="14" customWidth="1"/>
    <col min="224" max="224" width="9.00390625" style="14" customWidth="1"/>
    <col min="225" max="225" width="9.28125" style="14" customWidth="1"/>
    <col min="226" max="226" width="8.140625" style="14" customWidth="1"/>
    <col min="227" max="16384" width="9.140625" style="14" customWidth="1"/>
  </cols>
  <sheetData>
    <row r="1" spans="1:13" ht="18" customHeight="1">
      <c r="A1" s="907"/>
      <c r="B1" s="907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</row>
    <row r="2" spans="1:41" ht="11.25">
      <c r="A2" s="875" t="s">
        <v>0</v>
      </c>
      <c r="B2" s="875" t="s">
        <v>131</v>
      </c>
      <c r="C2" s="871" t="s">
        <v>6</v>
      </c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2"/>
      <c r="P2" s="909" t="s">
        <v>7</v>
      </c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2"/>
      <c r="AC2" s="909" t="s">
        <v>8</v>
      </c>
      <c r="AD2" s="871"/>
      <c r="AE2" s="871"/>
      <c r="AF2" s="871"/>
      <c r="AG2" s="871"/>
      <c r="AH2" s="871"/>
      <c r="AI2" s="871"/>
      <c r="AJ2" s="871"/>
      <c r="AK2" s="871"/>
      <c r="AL2" s="871"/>
      <c r="AM2" s="871"/>
      <c r="AN2" s="871"/>
      <c r="AO2" s="871"/>
    </row>
    <row r="3" spans="1:41" s="17" customFormat="1" ht="10.5">
      <c r="A3" s="876"/>
      <c r="B3" s="876"/>
      <c r="C3" s="871" t="s">
        <v>212</v>
      </c>
      <c r="D3" s="871" t="s">
        <v>454</v>
      </c>
      <c r="E3" s="871"/>
      <c r="F3" s="871"/>
      <c r="G3" s="871" t="s">
        <v>212</v>
      </c>
      <c r="H3" s="871" t="s">
        <v>26</v>
      </c>
      <c r="I3" s="871"/>
      <c r="J3" s="871"/>
      <c r="K3" s="871"/>
      <c r="L3" s="871"/>
      <c r="M3" s="871"/>
      <c r="N3" s="871"/>
      <c r="O3" s="872"/>
      <c r="P3" s="909" t="s">
        <v>212</v>
      </c>
      <c r="Q3" s="871" t="s">
        <v>454</v>
      </c>
      <c r="R3" s="871"/>
      <c r="S3" s="871"/>
      <c r="T3" s="871" t="s">
        <v>212</v>
      </c>
      <c r="U3" s="871" t="s">
        <v>26</v>
      </c>
      <c r="V3" s="871"/>
      <c r="W3" s="871"/>
      <c r="X3" s="871"/>
      <c r="Y3" s="871"/>
      <c r="Z3" s="871"/>
      <c r="AA3" s="871"/>
      <c r="AB3" s="872"/>
      <c r="AC3" s="909" t="s">
        <v>212</v>
      </c>
      <c r="AD3" s="871" t="s">
        <v>454</v>
      </c>
      <c r="AE3" s="871"/>
      <c r="AF3" s="871"/>
      <c r="AG3" s="871" t="s">
        <v>212</v>
      </c>
      <c r="AH3" s="871" t="s">
        <v>26</v>
      </c>
      <c r="AI3" s="871"/>
      <c r="AJ3" s="871"/>
      <c r="AK3" s="871"/>
      <c r="AL3" s="871"/>
      <c r="AM3" s="871"/>
      <c r="AN3" s="871"/>
      <c r="AO3" s="871"/>
    </row>
    <row r="4" spans="1:41" s="17" customFormat="1" ht="12.75" customHeight="1">
      <c r="A4" s="876"/>
      <c r="B4" s="876"/>
      <c r="C4" s="871"/>
      <c r="D4" s="871" t="s">
        <v>2</v>
      </c>
      <c r="E4" s="871" t="s">
        <v>3</v>
      </c>
      <c r="F4" s="871" t="s">
        <v>4</v>
      </c>
      <c r="G4" s="871"/>
      <c r="H4" s="871" t="s">
        <v>455</v>
      </c>
      <c r="I4" s="871"/>
      <c r="J4" s="871"/>
      <c r="K4" s="871"/>
      <c r="L4" s="878" t="s">
        <v>456</v>
      </c>
      <c r="M4" s="878" t="s">
        <v>461</v>
      </c>
      <c r="N4" s="878"/>
      <c r="O4" s="865"/>
      <c r="P4" s="909"/>
      <c r="Q4" s="871" t="s">
        <v>2</v>
      </c>
      <c r="R4" s="871" t="s">
        <v>3</v>
      </c>
      <c r="S4" s="871" t="s">
        <v>4</v>
      </c>
      <c r="T4" s="871"/>
      <c r="U4" s="871" t="s">
        <v>455</v>
      </c>
      <c r="V4" s="871"/>
      <c r="W4" s="871"/>
      <c r="X4" s="871"/>
      <c r="Y4" s="878" t="s">
        <v>456</v>
      </c>
      <c r="Z4" s="878" t="s">
        <v>461</v>
      </c>
      <c r="AA4" s="878"/>
      <c r="AB4" s="865"/>
      <c r="AC4" s="909"/>
      <c r="AD4" s="871" t="s">
        <v>2</v>
      </c>
      <c r="AE4" s="871" t="s">
        <v>3</v>
      </c>
      <c r="AF4" s="871" t="s">
        <v>4</v>
      </c>
      <c r="AG4" s="871"/>
      <c r="AH4" s="871" t="s">
        <v>455</v>
      </c>
      <c r="AI4" s="871"/>
      <c r="AJ4" s="871"/>
      <c r="AK4" s="871"/>
      <c r="AL4" s="878" t="s">
        <v>456</v>
      </c>
      <c r="AM4" s="878" t="s">
        <v>461</v>
      </c>
      <c r="AN4" s="878"/>
      <c r="AO4" s="878"/>
    </row>
    <row r="5" spans="1:41" s="17" customFormat="1" ht="31.5" customHeight="1">
      <c r="A5" s="877"/>
      <c r="B5" s="877"/>
      <c r="C5" s="871"/>
      <c r="D5" s="871"/>
      <c r="E5" s="871"/>
      <c r="F5" s="871"/>
      <c r="G5" s="871"/>
      <c r="H5" s="561" t="s">
        <v>212</v>
      </c>
      <c r="I5" s="561" t="s">
        <v>457</v>
      </c>
      <c r="J5" s="561" t="s">
        <v>458</v>
      </c>
      <c r="K5" s="561" t="s">
        <v>462</v>
      </c>
      <c r="L5" s="878"/>
      <c r="M5" s="499" t="s">
        <v>212</v>
      </c>
      <c r="N5" s="561" t="s">
        <v>460</v>
      </c>
      <c r="O5" s="568" t="s">
        <v>30</v>
      </c>
      <c r="P5" s="909"/>
      <c r="Q5" s="871"/>
      <c r="R5" s="871"/>
      <c r="S5" s="871"/>
      <c r="T5" s="871"/>
      <c r="U5" s="561" t="s">
        <v>212</v>
      </c>
      <c r="V5" s="561" t="s">
        <v>457</v>
      </c>
      <c r="W5" s="561" t="s">
        <v>458</v>
      </c>
      <c r="X5" s="561" t="s">
        <v>459</v>
      </c>
      <c r="Y5" s="878"/>
      <c r="Z5" s="555" t="s">
        <v>212</v>
      </c>
      <c r="AA5" s="561" t="s">
        <v>460</v>
      </c>
      <c r="AB5" s="568" t="s">
        <v>30</v>
      </c>
      <c r="AC5" s="909"/>
      <c r="AD5" s="871"/>
      <c r="AE5" s="871"/>
      <c r="AF5" s="871"/>
      <c r="AG5" s="871"/>
      <c r="AH5" s="561" t="s">
        <v>212</v>
      </c>
      <c r="AI5" s="561" t="s">
        <v>457</v>
      </c>
      <c r="AJ5" s="561" t="s">
        <v>458</v>
      </c>
      <c r="AK5" s="561" t="s">
        <v>459</v>
      </c>
      <c r="AL5" s="878"/>
      <c r="AM5" s="555" t="s">
        <v>212</v>
      </c>
      <c r="AN5" s="561" t="s">
        <v>460</v>
      </c>
      <c r="AO5" s="562" t="s">
        <v>30</v>
      </c>
    </row>
    <row r="6" spans="1:41" ht="15" customHeight="1">
      <c r="A6" s="498" t="s">
        <v>9</v>
      </c>
      <c r="B6" s="498" t="s">
        <v>10</v>
      </c>
      <c r="C6" s="559"/>
      <c r="D6" s="559"/>
      <c r="E6" s="559"/>
      <c r="F6" s="559"/>
      <c r="G6" s="559"/>
      <c r="H6" s="559"/>
      <c r="I6" s="560"/>
      <c r="J6" s="560"/>
      <c r="K6" s="560"/>
      <c r="L6" s="560"/>
      <c r="M6" s="559"/>
      <c r="N6" s="560"/>
      <c r="O6" s="56"/>
      <c r="P6" s="575"/>
      <c r="Q6" s="559"/>
      <c r="R6" s="559"/>
      <c r="S6" s="559"/>
      <c r="T6" s="559"/>
      <c r="U6" s="559"/>
      <c r="V6" s="560"/>
      <c r="W6" s="560"/>
      <c r="X6" s="560"/>
      <c r="Y6" s="560"/>
      <c r="Z6" s="559"/>
      <c r="AA6" s="560"/>
      <c r="AB6" s="56"/>
      <c r="AC6" s="575"/>
      <c r="AD6" s="559"/>
      <c r="AE6" s="559"/>
      <c r="AF6" s="559"/>
      <c r="AG6" s="559"/>
      <c r="AH6" s="559"/>
      <c r="AI6" s="560"/>
      <c r="AJ6" s="560"/>
      <c r="AK6" s="560"/>
      <c r="AL6" s="560"/>
      <c r="AM6" s="559"/>
      <c r="AN6" s="560"/>
      <c r="AO6" s="20"/>
    </row>
    <row r="7" spans="1:41" s="21" customFormat="1" ht="13.5" customHeight="1">
      <c r="A7" s="23" t="s">
        <v>105</v>
      </c>
      <c r="B7" s="24" t="s">
        <v>61</v>
      </c>
      <c r="C7" s="25"/>
      <c r="D7" s="25"/>
      <c r="E7" s="25"/>
      <c r="F7" s="25"/>
      <c r="G7" s="25"/>
      <c r="H7" s="25"/>
      <c r="I7" s="25"/>
      <c r="J7" s="25"/>
      <c r="K7" s="25"/>
      <c r="L7" s="310"/>
      <c r="M7" s="26"/>
      <c r="N7" s="25"/>
      <c r="O7" s="569"/>
      <c r="P7" s="576"/>
      <c r="Q7" s="25"/>
      <c r="R7" s="25"/>
      <c r="S7" s="25"/>
      <c r="T7" s="25"/>
      <c r="U7" s="25"/>
      <c r="V7" s="25"/>
      <c r="W7" s="25"/>
      <c r="X7" s="25"/>
      <c r="Y7" s="310"/>
      <c r="Z7" s="26"/>
      <c r="AA7" s="25"/>
      <c r="AB7" s="569"/>
      <c r="AC7" s="576"/>
      <c r="AD7" s="25"/>
      <c r="AE7" s="25"/>
      <c r="AF7" s="25"/>
      <c r="AG7" s="25"/>
      <c r="AH7" s="25"/>
      <c r="AI7" s="25"/>
      <c r="AJ7" s="25"/>
      <c r="AK7" s="25"/>
      <c r="AL7" s="310"/>
      <c r="AM7" s="26"/>
      <c r="AN7" s="25"/>
      <c r="AO7" s="25"/>
    </row>
    <row r="8" spans="1:41" s="17" customFormat="1" ht="17.25" customHeight="1">
      <c r="A8" s="29">
        <v>1</v>
      </c>
      <c r="B8" s="30" t="s">
        <v>68</v>
      </c>
      <c r="C8" s="31">
        <f>D8+E8+F8</f>
        <v>11</v>
      </c>
      <c r="D8" s="31">
        <v>10</v>
      </c>
      <c r="E8" s="31">
        <v>1</v>
      </c>
      <c r="F8" s="31"/>
      <c r="G8" s="31">
        <f>H8+L8+M8</f>
        <v>37522</v>
      </c>
      <c r="H8" s="31">
        <f>I8+J8+K8</f>
        <v>37521</v>
      </c>
      <c r="I8" s="31">
        <v>14</v>
      </c>
      <c r="J8" s="31">
        <v>1</v>
      </c>
      <c r="K8" s="31">
        <v>37506</v>
      </c>
      <c r="L8" s="31">
        <v>1</v>
      </c>
      <c r="M8" s="93"/>
      <c r="N8" s="31"/>
      <c r="O8" s="570"/>
      <c r="P8" s="577">
        <f>Q8+R8+S8</f>
        <v>11</v>
      </c>
      <c r="Q8" s="31">
        <v>10</v>
      </c>
      <c r="R8" s="31">
        <v>1</v>
      </c>
      <c r="S8" s="31"/>
      <c r="T8" s="31">
        <f>U8+Y8+Z8</f>
        <v>37522</v>
      </c>
      <c r="U8" s="31">
        <f>V8+W8+X8</f>
        <v>37521</v>
      </c>
      <c r="V8" s="31">
        <v>14</v>
      </c>
      <c r="W8" s="31">
        <v>1</v>
      </c>
      <c r="X8" s="31">
        <v>37506</v>
      </c>
      <c r="Y8" s="31">
        <v>1</v>
      </c>
      <c r="Z8" s="93"/>
      <c r="AA8" s="31"/>
      <c r="AB8" s="570"/>
      <c r="AC8" s="577">
        <f>AD8+AE8+AF8</f>
        <v>11</v>
      </c>
      <c r="AD8" s="31">
        <v>10</v>
      </c>
      <c r="AE8" s="31">
        <v>1</v>
      </c>
      <c r="AF8" s="31"/>
      <c r="AG8" s="31">
        <f>AH8+AL8+AM8</f>
        <v>37487</v>
      </c>
      <c r="AH8" s="31">
        <f>AI8+AJ8+AK8</f>
        <v>37486</v>
      </c>
      <c r="AI8" s="31">
        <v>34</v>
      </c>
      <c r="AJ8" s="31">
        <v>1</v>
      </c>
      <c r="AK8" s="31">
        <v>37451</v>
      </c>
      <c r="AL8" s="31">
        <v>1</v>
      </c>
      <c r="AM8" s="93"/>
      <c r="AN8" s="31"/>
      <c r="AO8" s="31"/>
    </row>
    <row r="9" spans="1:41" ht="15" customHeight="1">
      <c r="A9" s="32">
        <f>A8+1</f>
        <v>2</v>
      </c>
      <c r="B9" s="33" t="s">
        <v>106</v>
      </c>
      <c r="C9" s="34">
        <f>D9+E9+F9</f>
        <v>0</v>
      </c>
      <c r="D9" s="34">
        <v>0</v>
      </c>
      <c r="E9" s="34">
        <v>0</v>
      </c>
      <c r="F9" s="34"/>
      <c r="G9" s="34">
        <f>H9+L9+M9</f>
        <v>0</v>
      </c>
      <c r="H9" s="34">
        <v>0</v>
      </c>
      <c r="I9" s="34">
        <v>0</v>
      </c>
      <c r="J9" s="34">
        <v>0</v>
      </c>
      <c r="K9" s="34">
        <v>0</v>
      </c>
      <c r="L9" s="34"/>
      <c r="M9" s="566"/>
      <c r="N9" s="34"/>
      <c r="O9" s="571"/>
      <c r="P9" s="578">
        <f>Q9+R9+S9</f>
        <v>4</v>
      </c>
      <c r="Q9" s="34">
        <v>4</v>
      </c>
      <c r="R9" s="34">
        <v>0</v>
      </c>
      <c r="S9" s="34"/>
      <c r="T9" s="34">
        <f>U9+Y9+Z9</f>
        <v>180</v>
      </c>
      <c r="U9" s="34">
        <f>V9+W9+X9</f>
        <v>170</v>
      </c>
      <c r="V9" s="34">
        <v>0</v>
      </c>
      <c r="W9" s="34">
        <v>5</v>
      </c>
      <c r="X9" s="34">
        <v>165</v>
      </c>
      <c r="Y9" s="34">
        <v>10</v>
      </c>
      <c r="Z9" s="566"/>
      <c r="AA9" s="34">
        <v>1139</v>
      </c>
      <c r="AB9" s="571">
        <v>53006</v>
      </c>
      <c r="AC9" s="578"/>
      <c r="AD9" s="34">
        <v>5</v>
      </c>
      <c r="AE9" s="34"/>
      <c r="AF9" s="34"/>
      <c r="AG9" s="34"/>
      <c r="AH9" s="34"/>
      <c r="AI9" s="34"/>
      <c r="AJ9" s="34">
        <v>9</v>
      </c>
      <c r="AK9" s="34">
        <v>189</v>
      </c>
      <c r="AL9" s="34">
        <v>10</v>
      </c>
      <c r="AM9" s="566"/>
      <c r="AN9" s="34">
        <v>1402</v>
      </c>
      <c r="AO9" s="34">
        <v>55875</v>
      </c>
    </row>
    <row r="10" spans="1:41" ht="17.25" customHeight="1">
      <c r="A10" s="32">
        <f>A9+1</f>
        <v>3</v>
      </c>
      <c r="B10" s="33" t="s">
        <v>67</v>
      </c>
      <c r="C10" s="34"/>
      <c r="D10" s="34"/>
      <c r="E10" s="34"/>
      <c r="F10" s="34"/>
      <c r="G10" s="34"/>
      <c r="H10" s="34"/>
      <c r="I10" s="34">
        <v>1</v>
      </c>
      <c r="J10" s="34"/>
      <c r="K10" s="34">
        <v>847</v>
      </c>
      <c r="L10" s="34"/>
      <c r="M10" s="566"/>
      <c r="N10" s="34">
        <v>157</v>
      </c>
      <c r="O10" s="571">
        <v>25339</v>
      </c>
      <c r="P10" s="578"/>
      <c r="Q10" s="34">
        <v>4</v>
      </c>
      <c r="R10" s="34">
        <v>3</v>
      </c>
      <c r="S10" s="34"/>
      <c r="T10" s="34"/>
      <c r="U10" s="34"/>
      <c r="V10" s="34">
        <v>1</v>
      </c>
      <c r="W10" s="34"/>
      <c r="X10" s="34"/>
      <c r="Y10" s="34"/>
      <c r="Z10" s="566"/>
      <c r="AA10" s="34">
        <v>157</v>
      </c>
      <c r="AB10" s="571">
        <v>25339</v>
      </c>
      <c r="AC10" s="578"/>
      <c r="AD10" s="34">
        <v>5</v>
      </c>
      <c r="AE10" s="34">
        <v>3</v>
      </c>
      <c r="AF10" s="34"/>
      <c r="AG10" s="34"/>
      <c r="AH10" s="34"/>
      <c r="AI10" s="34">
        <v>1</v>
      </c>
      <c r="AJ10" s="34"/>
      <c r="AK10" s="34">
        <v>847</v>
      </c>
      <c r="AL10" s="34"/>
      <c r="AM10" s="566"/>
      <c r="AN10" s="34">
        <v>157</v>
      </c>
      <c r="AO10" s="34">
        <v>25339</v>
      </c>
    </row>
    <row r="11" spans="1:41" ht="17.25" customHeight="1">
      <c r="A11" s="35">
        <f>A10+1</f>
        <v>4</v>
      </c>
      <c r="B11" s="36" t="s">
        <v>70</v>
      </c>
      <c r="C11" s="37"/>
      <c r="D11" s="37"/>
      <c r="E11" s="37">
        <v>3</v>
      </c>
      <c r="F11" s="37"/>
      <c r="G11" s="37"/>
      <c r="H11" s="37"/>
      <c r="I11" s="37">
        <v>6</v>
      </c>
      <c r="J11" s="37">
        <v>2</v>
      </c>
      <c r="K11" s="37">
        <v>17585</v>
      </c>
      <c r="L11" s="37"/>
      <c r="M11" s="567">
        <v>163</v>
      </c>
      <c r="N11" s="37"/>
      <c r="O11" s="572"/>
      <c r="P11" s="579"/>
      <c r="Q11" s="37"/>
      <c r="R11" s="37">
        <v>3</v>
      </c>
      <c r="S11" s="37"/>
      <c r="T11" s="37"/>
      <c r="U11" s="37"/>
      <c r="V11" s="37">
        <v>6</v>
      </c>
      <c r="W11" s="37">
        <v>2</v>
      </c>
      <c r="X11" s="37">
        <v>17585</v>
      </c>
      <c r="Y11" s="37"/>
      <c r="Z11" s="567">
        <v>163</v>
      </c>
      <c r="AA11" s="37"/>
      <c r="AB11" s="572"/>
      <c r="AC11" s="579"/>
      <c r="AD11" s="37"/>
      <c r="AE11" s="37"/>
      <c r="AF11" s="37"/>
      <c r="AG11" s="37"/>
      <c r="AH11" s="37"/>
      <c r="AI11" s="37"/>
      <c r="AJ11" s="37"/>
      <c r="AK11" s="37"/>
      <c r="AL11" s="37"/>
      <c r="AM11" s="567"/>
      <c r="AN11" s="37"/>
      <c r="AO11" s="37"/>
    </row>
    <row r="12" spans="1:41" s="17" customFormat="1" ht="17.25" customHeight="1">
      <c r="A12" s="38" t="s">
        <v>107</v>
      </c>
      <c r="B12" s="39" t="s">
        <v>62</v>
      </c>
      <c r="C12" s="93"/>
      <c r="D12" s="93"/>
      <c r="E12" s="93"/>
      <c r="F12" s="93"/>
      <c r="G12" s="93"/>
      <c r="H12" s="93"/>
      <c r="I12" s="93"/>
      <c r="J12" s="93"/>
      <c r="K12" s="93"/>
      <c r="L12" s="31"/>
      <c r="M12" s="40"/>
      <c r="N12" s="93"/>
      <c r="O12" s="573"/>
      <c r="P12" s="580"/>
      <c r="Q12" s="93"/>
      <c r="R12" s="93"/>
      <c r="S12" s="93"/>
      <c r="T12" s="93"/>
      <c r="U12" s="93"/>
      <c r="V12" s="93"/>
      <c r="W12" s="93"/>
      <c r="X12" s="93"/>
      <c r="Y12" s="31"/>
      <c r="Z12" s="40"/>
      <c r="AA12" s="93"/>
      <c r="AB12" s="573"/>
      <c r="AC12" s="580"/>
      <c r="AD12" s="93"/>
      <c r="AE12" s="93"/>
      <c r="AF12" s="93"/>
      <c r="AG12" s="93"/>
      <c r="AH12" s="93"/>
      <c r="AI12" s="93"/>
      <c r="AJ12" s="93"/>
      <c r="AK12" s="93"/>
      <c r="AL12" s="31"/>
      <c r="AM12" s="40"/>
      <c r="AN12" s="93"/>
      <c r="AO12" s="93"/>
    </row>
    <row r="13" spans="1:41" s="17" customFormat="1" ht="17.25" customHeight="1">
      <c r="A13" s="41">
        <v>5</v>
      </c>
      <c r="B13" s="42" t="s">
        <v>71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93"/>
      <c r="N13" s="31"/>
      <c r="O13" s="570"/>
      <c r="P13" s="577"/>
      <c r="Q13" s="31">
        <v>4</v>
      </c>
      <c r="R13" s="31">
        <v>2</v>
      </c>
      <c r="S13" s="31"/>
      <c r="T13" s="31"/>
      <c r="U13" s="31"/>
      <c r="V13" s="31">
        <v>4</v>
      </c>
      <c r="W13" s="31">
        <v>6</v>
      </c>
      <c r="X13" s="31">
        <v>21811</v>
      </c>
      <c r="Y13" s="31">
        <v>7</v>
      </c>
      <c r="Z13" s="93">
        <v>17225</v>
      </c>
      <c r="AA13" s="31"/>
      <c r="AB13" s="570"/>
      <c r="AC13" s="577"/>
      <c r="AD13" s="31">
        <v>8</v>
      </c>
      <c r="AE13" s="31">
        <v>2</v>
      </c>
      <c r="AF13" s="31"/>
      <c r="AG13" s="31"/>
      <c r="AH13" s="31"/>
      <c r="AI13" s="31">
        <v>4</v>
      </c>
      <c r="AJ13" s="31">
        <v>6</v>
      </c>
      <c r="AK13" s="31">
        <v>34971</v>
      </c>
      <c r="AL13" s="31">
        <v>7</v>
      </c>
      <c r="AM13" s="93">
        <v>17769</v>
      </c>
      <c r="AN13" s="31"/>
      <c r="AO13" s="31"/>
    </row>
    <row r="14" spans="1:41" ht="17.25" customHeight="1">
      <c r="A14" s="43">
        <f aca="true" t="shared" si="0" ref="A14:A19">A13+1</f>
        <v>6</v>
      </c>
      <c r="B14" s="44" t="s">
        <v>72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66"/>
      <c r="N14" s="34"/>
      <c r="O14" s="571"/>
      <c r="P14" s="578"/>
      <c r="Q14" s="34">
        <v>17</v>
      </c>
      <c r="R14" s="34">
        <v>1</v>
      </c>
      <c r="S14" s="34">
        <v>15</v>
      </c>
      <c r="T14" s="34"/>
      <c r="U14" s="34"/>
      <c r="V14" s="34">
        <v>10</v>
      </c>
      <c r="W14" s="34"/>
      <c r="X14" s="34">
        <v>9446</v>
      </c>
      <c r="Y14" s="34">
        <v>38</v>
      </c>
      <c r="Z14" s="566"/>
      <c r="AA14" s="34"/>
      <c r="AB14" s="571"/>
      <c r="AC14" s="578"/>
      <c r="AD14" s="34">
        <v>29</v>
      </c>
      <c r="AE14" s="34">
        <v>1</v>
      </c>
      <c r="AF14" s="34">
        <v>26</v>
      </c>
      <c r="AG14" s="34"/>
      <c r="AH14" s="34"/>
      <c r="AI14" s="34">
        <v>11</v>
      </c>
      <c r="AJ14" s="34"/>
      <c r="AK14" s="34">
        <v>10103</v>
      </c>
      <c r="AL14" s="34">
        <v>46</v>
      </c>
      <c r="AM14" s="566"/>
      <c r="AN14" s="34"/>
      <c r="AO14" s="34"/>
    </row>
    <row r="15" spans="1:41" ht="17.25" customHeight="1">
      <c r="A15" s="43">
        <f t="shared" si="0"/>
        <v>7</v>
      </c>
      <c r="B15" s="44" t="s">
        <v>108</v>
      </c>
      <c r="C15" s="34"/>
      <c r="D15" s="34"/>
      <c r="E15" s="34"/>
      <c r="F15" s="34"/>
      <c r="G15" s="34"/>
      <c r="H15" s="34"/>
      <c r="I15" s="34">
        <v>2</v>
      </c>
      <c r="J15" s="34"/>
      <c r="K15" s="34"/>
      <c r="L15" s="34">
        <v>18</v>
      </c>
      <c r="M15" s="566"/>
      <c r="N15" s="34"/>
      <c r="O15" s="571"/>
      <c r="P15" s="578"/>
      <c r="Q15" s="34"/>
      <c r="R15" s="34"/>
      <c r="S15" s="34"/>
      <c r="T15" s="34"/>
      <c r="U15" s="34"/>
      <c r="V15" s="34">
        <v>2</v>
      </c>
      <c r="W15" s="34"/>
      <c r="X15" s="34"/>
      <c r="Y15" s="34">
        <v>26</v>
      </c>
      <c r="Z15" s="566"/>
      <c r="AA15" s="34"/>
      <c r="AB15" s="571"/>
      <c r="AC15" s="578"/>
      <c r="AD15" s="34"/>
      <c r="AE15" s="34"/>
      <c r="AF15" s="34"/>
      <c r="AG15" s="34"/>
      <c r="AH15" s="34"/>
      <c r="AI15" s="34">
        <v>3</v>
      </c>
      <c r="AJ15" s="34"/>
      <c r="AK15" s="34"/>
      <c r="AL15" s="34">
        <v>26</v>
      </c>
      <c r="AM15" s="566"/>
      <c r="AN15" s="34"/>
      <c r="AO15" s="34"/>
    </row>
    <row r="16" spans="1:41" ht="17.25" customHeight="1">
      <c r="A16" s="43">
        <f t="shared" si="0"/>
        <v>8</v>
      </c>
      <c r="B16" s="44" t="s">
        <v>73</v>
      </c>
      <c r="C16" s="34"/>
      <c r="D16" s="34"/>
      <c r="E16" s="34"/>
      <c r="F16" s="34"/>
      <c r="G16" s="34"/>
      <c r="H16" s="34"/>
      <c r="I16" s="34">
        <v>4</v>
      </c>
      <c r="J16" s="34"/>
      <c r="K16" s="34"/>
      <c r="L16" s="34">
        <v>8</v>
      </c>
      <c r="M16" s="566"/>
      <c r="N16" s="34">
        <v>334</v>
      </c>
      <c r="O16" s="571">
        <v>68444</v>
      </c>
      <c r="P16" s="578"/>
      <c r="Q16" s="34">
        <v>5</v>
      </c>
      <c r="R16" s="34">
        <v>1</v>
      </c>
      <c r="S16" s="34"/>
      <c r="T16" s="34"/>
      <c r="U16" s="34"/>
      <c r="V16" s="34"/>
      <c r="W16" s="34"/>
      <c r="X16" s="34"/>
      <c r="Y16" s="34">
        <v>8</v>
      </c>
      <c r="Z16" s="566"/>
      <c r="AA16" s="34">
        <v>334</v>
      </c>
      <c r="AB16" s="571">
        <v>68444</v>
      </c>
      <c r="AC16" s="578"/>
      <c r="AD16" s="34">
        <v>20</v>
      </c>
      <c r="AE16" s="34">
        <v>9</v>
      </c>
      <c r="AF16" s="34"/>
      <c r="AG16" s="34"/>
      <c r="AH16" s="34"/>
      <c r="AI16" s="34">
        <v>6</v>
      </c>
      <c r="AJ16" s="34"/>
      <c r="AK16" s="34"/>
      <c r="AL16" s="34">
        <v>11</v>
      </c>
      <c r="AM16" s="566"/>
      <c r="AN16" s="34">
        <v>386</v>
      </c>
      <c r="AO16" s="34">
        <v>76716</v>
      </c>
    </row>
    <row r="17" spans="1:41" ht="17.25" customHeight="1">
      <c r="A17" s="43">
        <f t="shared" si="0"/>
        <v>9</v>
      </c>
      <c r="B17" s="44" t="s">
        <v>75</v>
      </c>
      <c r="C17" s="34"/>
      <c r="D17" s="34"/>
      <c r="E17" s="34"/>
      <c r="F17" s="34"/>
      <c r="G17" s="34"/>
      <c r="H17" s="34"/>
      <c r="I17" s="34">
        <v>1</v>
      </c>
      <c r="J17" s="34"/>
      <c r="K17" s="34"/>
      <c r="L17" s="34">
        <v>25</v>
      </c>
      <c r="M17" s="566"/>
      <c r="N17" s="34"/>
      <c r="O17" s="571">
        <v>5104</v>
      </c>
      <c r="P17" s="578"/>
      <c r="Q17" s="34"/>
      <c r="R17" s="34"/>
      <c r="S17" s="34"/>
      <c r="T17" s="34"/>
      <c r="U17" s="34"/>
      <c r="V17" s="34">
        <v>1</v>
      </c>
      <c r="W17" s="34"/>
      <c r="X17" s="34"/>
      <c r="Y17" s="34">
        <v>25</v>
      </c>
      <c r="Z17" s="566"/>
      <c r="AA17" s="34"/>
      <c r="AB17" s="571">
        <v>5104</v>
      </c>
      <c r="AC17" s="578"/>
      <c r="AD17" s="34"/>
      <c r="AE17" s="34"/>
      <c r="AF17" s="34"/>
      <c r="AG17" s="34"/>
      <c r="AH17" s="34"/>
      <c r="AI17" s="34">
        <v>1</v>
      </c>
      <c r="AJ17" s="34"/>
      <c r="AK17" s="34"/>
      <c r="AL17" s="34">
        <v>25</v>
      </c>
      <c r="AM17" s="566"/>
      <c r="AN17" s="34"/>
      <c r="AO17" s="34">
        <v>5104</v>
      </c>
    </row>
    <row r="18" spans="1:41" ht="17.25" customHeight="1">
      <c r="A18" s="43">
        <f t="shared" si="0"/>
        <v>10</v>
      </c>
      <c r="B18" s="44" t="s">
        <v>109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566"/>
      <c r="N18" s="34"/>
      <c r="O18" s="571"/>
      <c r="P18" s="578"/>
      <c r="Q18" s="34"/>
      <c r="R18" s="34"/>
      <c r="S18" s="34"/>
      <c r="T18" s="34"/>
      <c r="U18" s="34"/>
      <c r="V18" s="34"/>
      <c r="W18" s="34"/>
      <c r="X18" s="34"/>
      <c r="Y18" s="34"/>
      <c r="Z18" s="566"/>
      <c r="AA18" s="34"/>
      <c r="AB18" s="571"/>
      <c r="AC18" s="578"/>
      <c r="AD18" s="34"/>
      <c r="AE18" s="34"/>
      <c r="AF18" s="34"/>
      <c r="AG18" s="34"/>
      <c r="AH18" s="34"/>
      <c r="AI18" s="34"/>
      <c r="AJ18" s="34"/>
      <c r="AK18" s="34"/>
      <c r="AL18" s="34"/>
      <c r="AM18" s="566"/>
      <c r="AN18" s="34"/>
      <c r="AO18" s="34"/>
    </row>
    <row r="19" spans="1:41" ht="17.25" customHeight="1">
      <c r="A19" s="76">
        <f t="shared" si="0"/>
        <v>11</v>
      </c>
      <c r="B19" s="77" t="s">
        <v>77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67"/>
      <c r="N19" s="37"/>
      <c r="O19" s="572"/>
      <c r="P19" s="579"/>
      <c r="Q19" s="37"/>
      <c r="R19" s="37"/>
      <c r="S19" s="37"/>
      <c r="T19" s="37"/>
      <c r="U19" s="37"/>
      <c r="V19" s="37"/>
      <c r="W19" s="37"/>
      <c r="X19" s="37"/>
      <c r="Y19" s="37"/>
      <c r="Z19" s="567"/>
      <c r="AA19" s="37"/>
      <c r="AB19" s="572"/>
      <c r="AC19" s="579"/>
      <c r="AD19" s="37"/>
      <c r="AE19" s="37"/>
      <c r="AF19" s="37"/>
      <c r="AG19" s="37"/>
      <c r="AH19" s="37"/>
      <c r="AI19" s="37"/>
      <c r="AJ19" s="37"/>
      <c r="AK19" s="37"/>
      <c r="AL19" s="37"/>
      <c r="AM19" s="567"/>
      <c r="AN19" s="37"/>
      <c r="AO19" s="37"/>
    </row>
    <row r="20" spans="1:41" s="17" customFormat="1" ht="17.25" customHeight="1">
      <c r="A20" s="45" t="s">
        <v>110</v>
      </c>
      <c r="B20" s="46" t="s">
        <v>63</v>
      </c>
      <c r="C20" s="93"/>
      <c r="D20" s="93"/>
      <c r="E20" s="93"/>
      <c r="F20" s="93"/>
      <c r="G20" s="93"/>
      <c r="H20" s="93"/>
      <c r="I20" s="93"/>
      <c r="J20" s="93"/>
      <c r="K20" s="93"/>
      <c r="L20" s="31"/>
      <c r="M20" s="40"/>
      <c r="N20" s="93"/>
      <c r="O20" s="573"/>
      <c r="P20" s="580"/>
      <c r="Q20" s="93"/>
      <c r="R20" s="93"/>
      <c r="S20" s="93"/>
      <c r="T20" s="93"/>
      <c r="U20" s="93"/>
      <c r="V20" s="93"/>
      <c r="W20" s="93"/>
      <c r="X20" s="93"/>
      <c r="Y20" s="31"/>
      <c r="Z20" s="40"/>
      <c r="AA20" s="93"/>
      <c r="AB20" s="573"/>
      <c r="AC20" s="580"/>
      <c r="AD20" s="93"/>
      <c r="AE20" s="93"/>
      <c r="AF20" s="93"/>
      <c r="AG20" s="93"/>
      <c r="AH20" s="93"/>
      <c r="AI20" s="93"/>
      <c r="AJ20" s="93"/>
      <c r="AK20" s="93"/>
      <c r="AL20" s="31"/>
      <c r="AM20" s="40"/>
      <c r="AN20" s="93"/>
      <c r="AO20" s="93"/>
    </row>
    <row r="21" spans="1:41" s="17" customFormat="1" ht="17.25" customHeight="1">
      <c r="A21" s="29">
        <v>12</v>
      </c>
      <c r="B21" s="30" t="s">
        <v>78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93"/>
      <c r="N21" s="31"/>
      <c r="O21" s="570"/>
      <c r="P21" s="577"/>
      <c r="Q21" s="31"/>
      <c r="R21" s="31"/>
      <c r="S21" s="31"/>
      <c r="T21" s="31"/>
      <c r="U21" s="31"/>
      <c r="V21" s="31"/>
      <c r="W21" s="31"/>
      <c r="X21" s="31"/>
      <c r="Y21" s="31"/>
      <c r="Z21" s="93"/>
      <c r="AA21" s="31"/>
      <c r="AB21" s="570"/>
      <c r="AC21" s="577"/>
      <c r="AD21" s="31"/>
      <c r="AE21" s="31"/>
      <c r="AF21" s="31"/>
      <c r="AG21" s="31"/>
      <c r="AH21" s="31"/>
      <c r="AI21" s="31"/>
      <c r="AJ21" s="31"/>
      <c r="AK21" s="31"/>
      <c r="AL21" s="31"/>
      <c r="AM21" s="93"/>
      <c r="AN21" s="31"/>
      <c r="AO21" s="31"/>
    </row>
    <row r="22" spans="1:41" ht="17.25" customHeight="1">
      <c r="A22" s="32">
        <v>13</v>
      </c>
      <c r="B22" s="33" t="s">
        <v>79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66"/>
      <c r="N22" s="34"/>
      <c r="O22" s="571"/>
      <c r="P22" s="578"/>
      <c r="Q22" s="34">
        <v>3</v>
      </c>
      <c r="R22" s="34"/>
      <c r="S22" s="34"/>
      <c r="T22" s="34"/>
      <c r="U22" s="34"/>
      <c r="V22" s="34">
        <v>3</v>
      </c>
      <c r="W22" s="34"/>
      <c r="X22" s="34"/>
      <c r="Y22" s="34"/>
      <c r="Z22" s="566">
        <v>870</v>
      </c>
      <c r="AA22" s="34"/>
      <c r="AB22" s="571"/>
      <c r="AC22" s="578"/>
      <c r="AD22" s="34"/>
      <c r="AE22" s="34"/>
      <c r="AF22" s="34"/>
      <c r="AG22" s="34"/>
      <c r="AH22" s="34"/>
      <c r="AI22" s="34"/>
      <c r="AJ22" s="34"/>
      <c r="AK22" s="34"/>
      <c r="AL22" s="34"/>
      <c r="AM22" s="566"/>
      <c r="AN22" s="34"/>
      <c r="AO22" s="34"/>
    </row>
    <row r="23" spans="1:41" ht="17.25" customHeight="1">
      <c r="A23" s="32">
        <f>A22+1</f>
        <v>14</v>
      </c>
      <c r="B23" s="33" t="s">
        <v>111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66"/>
      <c r="N23" s="34"/>
      <c r="O23" s="571"/>
      <c r="P23" s="578"/>
      <c r="Q23" s="34"/>
      <c r="R23" s="34"/>
      <c r="S23" s="34"/>
      <c r="T23" s="34"/>
      <c r="U23" s="34"/>
      <c r="V23" s="34"/>
      <c r="W23" s="34"/>
      <c r="X23" s="34"/>
      <c r="Y23" s="34"/>
      <c r="Z23" s="566"/>
      <c r="AA23" s="34"/>
      <c r="AB23" s="571"/>
      <c r="AC23" s="578"/>
      <c r="AD23" s="34"/>
      <c r="AE23" s="34"/>
      <c r="AF23" s="34"/>
      <c r="AG23" s="34"/>
      <c r="AH23" s="34"/>
      <c r="AI23" s="34"/>
      <c r="AJ23" s="34"/>
      <c r="AK23" s="34"/>
      <c r="AL23" s="34"/>
      <c r="AM23" s="566"/>
      <c r="AN23" s="34"/>
      <c r="AO23" s="34"/>
    </row>
    <row r="24" spans="1:41" ht="17.25" customHeight="1">
      <c r="A24" s="32">
        <f>A23+1</f>
        <v>15</v>
      </c>
      <c r="B24" s="33" t="s">
        <v>112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66"/>
      <c r="N24" s="34"/>
      <c r="O24" s="571"/>
      <c r="P24" s="578"/>
      <c r="Q24" s="34"/>
      <c r="R24" s="34"/>
      <c r="S24" s="34"/>
      <c r="T24" s="34"/>
      <c r="U24" s="34"/>
      <c r="V24" s="34"/>
      <c r="W24" s="34"/>
      <c r="X24" s="34"/>
      <c r="Y24" s="34"/>
      <c r="Z24" s="566"/>
      <c r="AA24" s="34"/>
      <c r="AB24" s="571"/>
      <c r="AC24" s="578"/>
      <c r="AD24" s="34"/>
      <c r="AE24" s="34"/>
      <c r="AF24" s="34"/>
      <c r="AG24" s="34"/>
      <c r="AH24" s="34"/>
      <c r="AI24" s="34"/>
      <c r="AJ24" s="34"/>
      <c r="AK24" s="34"/>
      <c r="AL24" s="34"/>
      <c r="AM24" s="566"/>
      <c r="AN24" s="34"/>
      <c r="AO24" s="34"/>
    </row>
    <row r="25" spans="1:41" ht="17.25" customHeight="1">
      <c r="A25" s="35">
        <f>A24+1</f>
        <v>16</v>
      </c>
      <c r="B25" s="36" t="s">
        <v>81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67"/>
      <c r="N25" s="37"/>
      <c r="O25" s="572"/>
      <c r="P25" s="579"/>
      <c r="Q25" s="37"/>
      <c r="R25" s="37"/>
      <c r="S25" s="37"/>
      <c r="T25" s="37"/>
      <c r="U25" s="37"/>
      <c r="V25" s="37"/>
      <c r="W25" s="37"/>
      <c r="X25" s="37"/>
      <c r="Y25" s="37"/>
      <c r="Z25" s="567"/>
      <c r="AA25" s="37"/>
      <c r="AB25" s="572"/>
      <c r="AC25" s="579"/>
      <c r="AD25" s="37"/>
      <c r="AE25" s="37"/>
      <c r="AF25" s="37"/>
      <c r="AG25" s="37"/>
      <c r="AH25" s="37"/>
      <c r="AI25" s="37"/>
      <c r="AJ25" s="37"/>
      <c r="AK25" s="37"/>
      <c r="AL25" s="37"/>
      <c r="AM25" s="567"/>
      <c r="AN25" s="37"/>
      <c r="AO25" s="37"/>
    </row>
    <row r="26" spans="1:41" s="17" customFormat="1" ht="17.25" customHeight="1">
      <c r="A26" s="45" t="s">
        <v>113</v>
      </c>
      <c r="B26" s="46" t="s">
        <v>64</v>
      </c>
      <c r="C26" s="93"/>
      <c r="D26" s="93"/>
      <c r="E26" s="93"/>
      <c r="F26" s="93"/>
      <c r="G26" s="93"/>
      <c r="H26" s="93"/>
      <c r="I26" s="93"/>
      <c r="J26" s="93"/>
      <c r="K26" s="93"/>
      <c r="L26" s="31"/>
      <c r="M26" s="40"/>
      <c r="N26" s="93"/>
      <c r="O26" s="573"/>
      <c r="P26" s="580"/>
      <c r="Q26" s="93"/>
      <c r="R26" s="93"/>
      <c r="S26" s="93"/>
      <c r="T26" s="93"/>
      <c r="U26" s="93"/>
      <c r="V26" s="93"/>
      <c r="W26" s="93"/>
      <c r="X26" s="93"/>
      <c r="Y26" s="31"/>
      <c r="Z26" s="40"/>
      <c r="AA26" s="93"/>
      <c r="AB26" s="573"/>
      <c r="AC26" s="580"/>
      <c r="AD26" s="93"/>
      <c r="AE26" s="93"/>
      <c r="AF26" s="93"/>
      <c r="AG26" s="93"/>
      <c r="AH26" s="93"/>
      <c r="AI26" s="93"/>
      <c r="AJ26" s="93"/>
      <c r="AK26" s="93"/>
      <c r="AL26" s="31"/>
      <c r="AM26" s="40"/>
      <c r="AN26" s="93"/>
      <c r="AO26" s="93"/>
    </row>
    <row r="27" spans="1:41" s="17" customFormat="1" ht="17.25" customHeight="1">
      <c r="A27" s="29">
        <v>17</v>
      </c>
      <c r="B27" s="30" t="s">
        <v>114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93"/>
      <c r="N27" s="31"/>
      <c r="O27" s="570"/>
      <c r="P27" s="577"/>
      <c r="Q27" s="31"/>
      <c r="R27" s="31"/>
      <c r="S27" s="31"/>
      <c r="T27" s="31"/>
      <c r="U27" s="31"/>
      <c r="V27" s="31"/>
      <c r="W27" s="31"/>
      <c r="X27" s="31"/>
      <c r="Y27" s="31"/>
      <c r="Z27" s="93"/>
      <c r="AA27" s="31"/>
      <c r="AB27" s="570"/>
      <c r="AC27" s="577"/>
      <c r="AD27" s="31"/>
      <c r="AE27" s="31"/>
      <c r="AF27" s="31"/>
      <c r="AG27" s="31"/>
      <c r="AH27" s="31"/>
      <c r="AI27" s="31"/>
      <c r="AJ27" s="31"/>
      <c r="AK27" s="31"/>
      <c r="AL27" s="31"/>
      <c r="AM27" s="93"/>
      <c r="AN27" s="31"/>
      <c r="AO27" s="31"/>
    </row>
    <row r="28" spans="1:41" ht="17.25" customHeight="1">
      <c r="A28" s="32">
        <f aca="true" t="shared" si="1" ref="A28:A33">A27+1</f>
        <v>18</v>
      </c>
      <c r="B28" s="33" t="s">
        <v>115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66"/>
      <c r="N28" s="34"/>
      <c r="O28" s="571"/>
      <c r="P28" s="578"/>
      <c r="Q28" s="34"/>
      <c r="R28" s="34"/>
      <c r="S28" s="34"/>
      <c r="T28" s="34"/>
      <c r="U28" s="34"/>
      <c r="V28" s="34"/>
      <c r="W28" s="34"/>
      <c r="X28" s="34"/>
      <c r="Y28" s="34"/>
      <c r="Z28" s="566"/>
      <c r="AA28" s="34"/>
      <c r="AB28" s="571"/>
      <c r="AC28" s="578"/>
      <c r="AD28" s="34"/>
      <c r="AE28" s="34"/>
      <c r="AF28" s="34"/>
      <c r="AG28" s="34"/>
      <c r="AH28" s="34"/>
      <c r="AI28" s="34"/>
      <c r="AJ28" s="34"/>
      <c r="AK28" s="34"/>
      <c r="AL28" s="34"/>
      <c r="AM28" s="566"/>
      <c r="AN28" s="34"/>
      <c r="AO28" s="34"/>
    </row>
    <row r="29" spans="1:41" ht="17.25" customHeight="1">
      <c r="A29" s="32">
        <f t="shared" si="1"/>
        <v>19</v>
      </c>
      <c r="B29" s="33" t="s">
        <v>116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66"/>
      <c r="N29" s="34"/>
      <c r="O29" s="571"/>
      <c r="P29" s="578"/>
      <c r="Q29" s="34"/>
      <c r="R29" s="34"/>
      <c r="S29" s="34"/>
      <c r="T29" s="34"/>
      <c r="U29" s="34"/>
      <c r="V29" s="34"/>
      <c r="W29" s="34"/>
      <c r="X29" s="34"/>
      <c r="Y29" s="34"/>
      <c r="Z29" s="566"/>
      <c r="AA29" s="34"/>
      <c r="AB29" s="571"/>
      <c r="AC29" s="578"/>
      <c r="AD29" s="34"/>
      <c r="AE29" s="34"/>
      <c r="AF29" s="34"/>
      <c r="AG29" s="34"/>
      <c r="AH29" s="34"/>
      <c r="AI29" s="34"/>
      <c r="AJ29" s="34"/>
      <c r="AK29" s="34"/>
      <c r="AL29" s="34"/>
      <c r="AM29" s="566"/>
      <c r="AN29" s="34"/>
      <c r="AO29" s="34"/>
    </row>
    <row r="30" spans="1:41" ht="17.25" customHeight="1">
      <c r="A30" s="32">
        <f t="shared" si="1"/>
        <v>20</v>
      </c>
      <c r="B30" s="33" t="s">
        <v>84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66"/>
      <c r="N30" s="34"/>
      <c r="O30" s="571"/>
      <c r="P30" s="578"/>
      <c r="Q30" s="34"/>
      <c r="R30" s="34"/>
      <c r="S30" s="34"/>
      <c r="T30" s="34"/>
      <c r="U30" s="34"/>
      <c r="V30" s="34"/>
      <c r="W30" s="34"/>
      <c r="X30" s="34"/>
      <c r="Y30" s="34"/>
      <c r="Z30" s="566"/>
      <c r="AA30" s="34"/>
      <c r="AB30" s="571"/>
      <c r="AC30" s="578"/>
      <c r="AD30" s="34"/>
      <c r="AE30" s="34"/>
      <c r="AF30" s="34"/>
      <c r="AG30" s="34"/>
      <c r="AH30" s="34"/>
      <c r="AI30" s="34"/>
      <c r="AJ30" s="34"/>
      <c r="AK30" s="34"/>
      <c r="AL30" s="34"/>
      <c r="AM30" s="566"/>
      <c r="AN30" s="34"/>
      <c r="AO30" s="34"/>
    </row>
    <row r="31" spans="1:41" ht="17.25" customHeight="1">
      <c r="A31" s="32">
        <f t="shared" si="1"/>
        <v>21</v>
      </c>
      <c r="B31" s="33" t="s">
        <v>83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566"/>
      <c r="N31" s="34"/>
      <c r="O31" s="571"/>
      <c r="P31" s="578"/>
      <c r="Q31" s="34"/>
      <c r="R31" s="34"/>
      <c r="S31" s="34"/>
      <c r="T31" s="34"/>
      <c r="U31" s="34"/>
      <c r="V31" s="34"/>
      <c r="W31" s="34"/>
      <c r="X31" s="34"/>
      <c r="Y31" s="34"/>
      <c r="Z31" s="566"/>
      <c r="AA31" s="34"/>
      <c r="AB31" s="571"/>
      <c r="AC31" s="578"/>
      <c r="AD31" s="34"/>
      <c r="AE31" s="34"/>
      <c r="AF31" s="34"/>
      <c r="AG31" s="34"/>
      <c r="AH31" s="34"/>
      <c r="AI31" s="34"/>
      <c r="AJ31" s="34"/>
      <c r="AK31" s="34"/>
      <c r="AL31" s="34"/>
      <c r="AM31" s="566"/>
      <c r="AN31" s="34"/>
      <c r="AO31" s="34"/>
    </row>
    <row r="32" spans="1:41" ht="17.25" customHeight="1">
      <c r="A32" s="32">
        <f t="shared" si="1"/>
        <v>22</v>
      </c>
      <c r="B32" s="33" t="s">
        <v>85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566"/>
      <c r="N32" s="34"/>
      <c r="O32" s="571"/>
      <c r="P32" s="578"/>
      <c r="Q32" s="34"/>
      <c r="R32" s="34"/>
      <c r="S32" s="34"/>
      <c r="T32" s="34"/>
      <c r="U32" s="34"/>
      <c r="V32" s="34"/>
      <c r="W32" s="34"/>
      <c r="X32" s="34"/>
      <c r="Y32" s="34"/>
      <c r="Z32" s="566"/>
      <c r="AA32" s="34"/>
      <c r="AB32" s="571"/>
      <c r="AC32" s="578"/>
      <c r="AD32" s="34"/>
      <c r="AE32" s="34"/>
      <c r="AF32" s="34"/>
      <c r="AG32" s="34"/>
      <c r="AH32" s="34"/>
      <c r="AI32" s="34"/>
      <c r="AJ32" s="34"/>
      <c r="AK32" s="34"/>
      <c r="AL32" s="34"/>
      <c r="AM32" s="566"/>
      <c r="AN32" s="34"/>
      <c r="AO32" s="34"/>
    </row>
    <row r="33" spans="1:41" ht="17.25" customHeight="1">
      <c r="A33" s="35">
        <f t="shared" si="1"/>
        <v>23</v>
      </c>
      <c r="B33" s="36" t="s">
        <v>86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567"/>
      <c r="N33" s="37"/>
      <c r="O33" s="572"/>
      <c r="P33" s="579"/>
      <c r="Q33" s="37"/>
      <c r="R33" s="37"/>
      <c r="S33" s="37"/>
      <c r="T33" s="37"/>
      <c r="U33" s="37"/>
      <c r="V33" s="37"/>
      <c r="W33" s="37"/>
      <c r="X33" s="37"/>
      <c r="Y33" s="37"/>
      <c r="Z33" s="567"/>
      <c r="AA33" s="37"/>
      <c r="AB33" s="572"/>
      <c r="AC33" s="579"/>
      <c r="AD33" s="37"/>
      <c r="AE33" s="37"/>
      <c r="AF33" s="37"/>
      <c r="AG33" s="37"/>
      <c r="AH33" s="37"/>
      <c r="AI33" s="37"/>
      <c r="AJ33" s="37"/>
      <c r="AK33" s="37"/>
      <c r="AL33" s="37"/>
      <c r="AM33" s="567"/>
      <c r="AN33" s="37"/>
      <c r="AO33" s="37"/>
    </row>
    <row r="34" spans="1:41" s="17" customFormat="1" ht="17.25" customHeight="1">
      <c r="A34" s="38" t="s">
        <v>117</v>
      </c>
      <c r="B34" s="39" t="s">
        <v>65</v>
      </c>
      <c r="C34" s="31"/>
      <c r="D34" s="93"/>
      <c r="E34" s="93"/>
      <c r="F34" s="93"/>
      <c r="G34" s="93"/>
      <c r="H34" s="93"/>
      <c r="I34" s="93"/>
      <c r="J34" s="93"/>
      <c r="K34" s="93"/>
      <c r="L34" s="31"/>
      <c r="M34" s="40"/>
      <c r="N34" s="93"/>
      <c r="O34" s="573"/>
      <c r="P34" s="577"/>
      <c r="Q34" s="93"/>
      <c r="R34" s="93"/>
      <c r="S34" s="93"/>
      <c r="T34" s="93"/>
      <c r="U34" s="93"/>
      <c r="V34" s="93"/>
      <c r="W34" s="93"/>
      <c r="X34" s="93"/>
      <c r="Y34" s="31"/>
      <c r="Z34" s="40"/>
      <c r="AA34" s="93"/>
      <c r="AB34" s="573"/>
      <c r="AC34" s="577"/>
      <c r="AD34" s="93"/>
      <c r="AE34" s="93"/>
      <c r="AF34" s="93"/>
      <c r="AG34" s="93"/>
      <c r="AH34" s="93"/>
      <c r="AI34" s="93"/>
      <c r="AJ34" s="93"/>
      <c r="AK34" s="93"/>
      <c r="AL34" s="31"/>
      <c r="AM34" s="40"/>
      <c r="AN34" s="93"/>
      <c r="AO34" s="93"/>
    </row>
    <row r="35" spans="1:41" s="17" customFormat="1" ht="17.25" customHeight="1">
      <c r="A35" s="29">
        <v>24</v>
      </c>
      <c r="B35" s="30" t="s">
        <v>87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93"/>
      <c r="N35" s="31"/>
      <c r="O35" s="570"/>
      <c r="P35" s="577"/>
      <c r="Q35" s="31"/>
      <c r="R35" s="31"/>
      <c r="S35" s="31"/>
      <c r="T35" s="31"/>
      <c r="U35" s="31"/>
      <c r="V35" s="31"/>
      <c r="W35" s="31"/>
      <c r="X35" s="31"/>
      <c r="Y35" s="31"/>
      <c r="Z35" s="93"/>
      <c r="AA35" s="31"/>
      <c r="AB35" s="570"/>
      <c r="AC35" s="577"/>
      <c r="AD35" s="31"/>
      <c r="AE35" s="31"/>
      <c r="AF35" s="31"/>
      <c r="AG35" s="31"/>
      <c r="AH35" s="31"/>
      <c r="AI35" s="31"/>
      <c r="AJ35" s="31"/>
      <c r="AK35" s="31"/>
      <c r="AL35" s="31"/>
      <c r="AM35" s="93"/>
      <c r="AN35" s="31"/>
      <c r="AO35" s="31"/>
    </row>
    <row r="36" spans="1:41" ht="17.25" customHeight="1">
      <c r="A36" s="32">
        <f>A35+1</f>
        <v>25</v>
      </c>
      <c r="B36" s="33" t="s">
        <v>88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566"/>
      <c r="N36" s="34"/>
      <c r="O36" s="571"/>
      <c r="P36" s="578"/>
      <c r="Q36" s="34"/>
      <c r="R36" s="34"/>
      <c r="S36" s="34"/>
      <c r="T36" s="34"/>
      <c r="U36" s="34"/>
      <c r="V36" s="34"/>
      <c r="W36" s="34"/>
      <c r="X36" s="34"/>
      <c r="Y36" s="34"/>
      <c r="Z36" s="566"/>
      <c r="AA36" s="34"/>
      <c r="AB36" s="571"/>
      <c r="AC36" s="578"/>
      <c r="AD36" s="34"/>
      <c r="AE36" s="34"/>
      <c r="AF36" s="34"/>
      <c r="AG36" s="34"/>
      <c r="AH36" s="34"/>
      <c r="AI36" s="34"/>
      <c r="AJ36" s="34"/>
      <c r="AK36" s="34"/>
      <c r="AL36" s="34"/>
      <c r="AM36" s="566"/>
      <c r="AN36" s="34"/>
      <c r="AO36" s="34"/>
    </row>
    <row r="37" spans="1:41" ht="17.25" customHeight="1">
      <c r="A37" s="32">
        <f>A36+1</f>
        <v>26</v>
      </c>
      <c r="B37" s="33" t="s">
        <v>89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566"/>
      <c r="N37" s="34"/>
      <c r="O37" s="571"/>
      <c r="P37" s="578"/>
      <c r="Q37" s="34"/>
      <c r="R37" s="34"/>
      <c r="S37" s="34"/>
      <c r="T37" s="34"/>
      <c r="U37" s="34"/>
      <c r="V37" s="34"/>
      <c r="W37" s="34"/>
      <c r="X37" s="34"/>
      <c r="Y37" s="34"/>
      <c r="Z37" s="566"/>
      <c r="AA37" s="34"/>
      <c r="AB37" s="571"/>
      <c r="AC37" s="578"/>
      <c r="AD37" s="34"/>
      <c r="AE37" s="34"/>
      <c r="AF37" s="34"/>
      <c r="AG37" s="34"/>
      <c r="AH37" s="34"/>
      <c r="AI37" s="34"/>
      <c r="AJ37" s="34"/>
      <c r="AK37" s="34"/>
      <c r="AL37" s="34"/>
      <c r="AM37" s="566"/>
      <c r="AN37" s="34"/>
      <c r="AO37" s="34"/>
    </row>
    <row r="38" spans="1:41" ht="17.25" customHeight="1">
      <c r="A38" s="32">
        <f>A37+1</f>
        <v>27</v>
      </c>
      <c r="B38" s="33" t="s">
        <v>90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566"/>
      <c r="N38" s="34"/>
      <c r="O38" s="571"/>
      <c r="P38" s="578"/>
      <c r="Q38" s="34"/>
      <c r="R38" s="34"/>
      <c r="S38" s="34"/>
      <c r="T38" s="34"/>
      <c r="U38" s="34"/>
      <c r="V38" s="34"/>
      <c r="W38" s="34"/>
      <c r="X38" s="34"/>
      <c r="Y38" s="34"/>
      <c r="Z38" s="566"/>
      <c r="AA38" s="34"/>
      <c r="AB38" s="571"/>
      <c r="AC38" s="578"/>
      <c r="AD38" s="34"/>
      <c r="AE38" s="34"/>
      <c r="AF38" s="34"/>
      <c r="AG38" s="34"/>
      <c r="AH38" s="34"/>
      <c r="AI38" s="34"/>
      <c r="AJ38" s="34"/>
      <c r="AK38" s="34"/>
      <c r="AL38" s="34"/>
      <c r="AM38" s="566"/>
      <c r="AN38" s="34"/>
      <c r="AO38" s="34"/>
    </row>
    <row r="39" spans="1:41" ht="17.25" customHeight="1">
      <c r="A39" s="35">
        <f>A38+1</f>
        <v>28</v>
      </c>
      <c r="B39" s="36" t="s">
        <v>91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567"/>
      <c r="N39" s="37"/>
      <c r="O39" s="572"/>
      <c r="P39" s="579"/>
      <c r="Q39" s="37"/>
      <c r="R39" s="37"/>
      <c r="S39" s="37"/>
      <c r="T39" s="37"/>
      <c r="U39" s="37"/>
      <c r="V39" s="37"/>
      <c r="W39" s="37"/>
      <c r="X39" s="37"/>
      <c r="Y39" s="37"/>
      <c r="Z39" s="567"/>
      <c r="AA39" s="37"/>
      <c r="AB39" s="572"/>
      <c r="AC39" s="579"/>
      <c r="AD39" s="37"/>
      <c r="AE39" s="37"/>
      <c r="AF39" s="37"/>
      <c r="AG39" s="37"/>
      <c r="AH39" s="37"/>
      <c r="AI39" s="37"/>
      <c r="AJ39" s="37"/>
      <c r="AK39" s="37"/>
      <c r="AL39" s="37"/>
      <c r="AM39" s="567"/>
      <c r="AN39" s="37"/>
      <c r="AO39" s="37"/>
    </row>
    <row r="40" spans="1:41" s="17" customFormat="1" ht="17.25" customHeight="1">
      <c r="A40" s="45" t="s">
        <v>118</v>
      </c>
      <c r="B40" s="46" t="s">
        <v>66</v>
      </c>
      <c r="C40" s="31"/>
      <c r="D40" s="93"/>
      <c r="E40" s="93"/>
      <c r="F40" s="93"/>
      <c r="G40" s="93"/>
      <c r="H40" s="93"/>
      <c r="I40" s="93"/>
      <c r="J40" s="93"/>
      <c r="K40" s="93"/>
      <c r="L40" s="31"/>
      <c r="M40" s="40"/>
      <c r="N40" s="93"/>
      <c r="O40" s="573"/>
      <c r="P40" s="577"/>
      <c r="Q40" s="93"/>
      <c r="R40" s="93"/>
      <c r="S40" s="93"/>
      <c r="T40" s="93"/>
      <c r="U40" s="93"/>
      <c r="V40" s="93"/>
      <c r="W40" s="93"/>
      <c r="X40" s="93"/>
      <c r="Y40" s="31"/>
      <c r="Z40" s="40"/>
      <c r="AA40" s="93"/>
      <c r="AB40" s="573"/>
      <c r="AC40" s="577"/>
      <c r="AD40" s="93"/>
      <c r="AE40" s="93"/>
      <c r="AF40" s="93"/>
      <c r="AG40" s="93"/>
      <c r="AH40" s="93"/>
      <c r="AI40" s="93"/>
      <c r="AJ40" s="93"/>
      <c r="AK40" s="93"/>
      <c r="AL40" s="31"/>
      <c r="AM40" s="40"/>
      <c r="AN40" s="93"/>
      <c r="AO40" s="93"/>
    </row>
    <row r="41" spans="1:41" s="17" customFormat="1" ht="17.25" customHeight="1">
      <c r="A41" s="29">
        <v>29</v>
      </c>
      <c r="B41" s="30" t="s">
        <v>92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93"/>
      <c r="N41" s="31"/>
      <c r="O41" s="570"/>
      <c r="P41" s="577"/>
      <c r="Q41" s="31"/>
      <c r="R41" s="31"/>
      <c r="S41" s="31"/>
      <c r="T41" s="31"/>
      <c r="U41" s="31"/>
      <c r="V41" s="31"/>
      <c r="W41" s="31"/>
      <c r="X41" s="31"/>
      <c r="Y41" s="31"/>
      <c r="Z41" s="93"/>
      <c r="AA41" s="31"/>
      <c r="AB41" s="570"/>
      <c r="AC41" s="577"/>
      <c r="AD41" s="31"/>
      <c r="AE41" s="31"/>
      <c r="AF41" s="31"/>
      <c r="AG41" s="31"/>
      <c r="AH41" s="31"/>
      <c r="AI41" s="31"/>
      <c r="AJ41" s="31"/>
      <c r="AK41" s="31"/>
      <c r="AL41" s="31"/>
      <c r="AM41" s="93"/>
      <c r="AN41" s="31"/>
      <c r="AO41" s="31"/>
    </row>
    <row r="42" spans="1:41" ht="17.25" customHeight="1">
      <c r="A42" s="32">
        <v>30</v>
      </c>
      <c r="B42" s="33" t="s">
        <v>93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66"/>
      <c r="N42" s="34"/>
      <c r="O42" s="571"/>
      <c r="P42" s="578"/>
      <c r="Q42" s="34"/>
      <c r="R42" s="34"/>
      <c r="S42" s="34"/>
      <c r="T42" s="34"/>
      <c r="U42" s="34"/>
      <c r="V42" s="34"/>
      <c r="W42" s="34"/>
      <c r="X42" s="34"/>
      <c r="Y42" s="34"/>
      <c r="Z42" s="566"/>
      <c r="AA42" s="34"/>
      <c r="AB42" s="571"/>
      <c r="AC42" s="578"/>
      <c r="AD42" s="34"/>
      <c r="AE42" s="34"/>
      <c r="AF42" s="34"/>
      <c r="AG42" s="34"/>
      <c r="AH42" s="34"/>
      <c r="AI42" s="34"/>
      <c r="AJ42" s="34"/>
      <c r="AK42" s="34"/>
      <c r="AL42" s="34"/>
      <c r="AM42" s="566"/>
      <c r="AN42" s="34"/>
      <c r="AO42" s="34"/>
    </row>
    <row r="43" spans="1:41" ht="17.25" customHeight="1">
      <c r="A43" s="47"/>
      <c r="B43" s="48" t="s">
        <v>60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74"/>
      <c r="P43" s="581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574"/>
      <c r="AC43" s="581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35" s="17" customFormat="1" ht="17.25" customHeight="1">
      <c r="A44" s="14"/>
      <c r="B44" s="14"/>
      <c r="C44" s="563"/>
      <c r="D44" s="563"/>
      <c r="E44" s="563"/>
      <c r="F44" s="563"/>
      <c r="G44" s="563"/>
      <c r="H44" s="564"/>
      <c r="I44" s="564"/>
      <c r="J44" s="564"/>
      <c r="K44" s="564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</row>
    <row r="45" spans="3:35" ht="17.25" customHeight="1">
      <c r="C45" s="563"/>
      <c r="D45" s="563"/>
      <c r="E45" s="563"/>
      <c r="F45" s="563"/>
      <c r="G45" s="563"/>
      <c r="H45" s="564"/>
      <c r="I45" s="564"/>
      <c r="J45" s="564"/>
      <c r="K45" s="564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</row>
    <row r="46" spans="8:11" ht="17.25" customHeight="1">
      <c r="H46" s="15"/>
      <c r="I46" s="15"/>
      <c r="J46" s="15"/>
      <c r="K46" s="15"/>
    </row>
    <row r="47" spans="8:11" ht="17.25" customHeight="1">
      <c r="H47" s="15"/>
      <c r="I47" s="15"/>
      <c r="J47" s="15"/>
      <c r="K47" s="15"/>
    </row>
    <row r="48" ht="17.25" customHeight="1"/>
  </sheetData>
  <sheetProtection/>
  <mergeCells count="36">
    <mergeCell ref="AL4:AL5"/>
    <mergeCell ref="AM4:AO4"/>
    <mergeCell ref="Z4:AB4"/>
    <mergeCell ref="AC2:AO2"/>
    <mergeCell ref="AC3:AC5"/>
    <mergeCell ref="AD3:AF3"/>
    <mergeCell ref="AG3:AG5"/>
    <mergeCell ref="AH3:AO3"/>
    <mergeCell ref="AD4:AD5"/>
    <mergeCell ref="AE4:AE5"/>
    <mergeCell ref="AF4:AF5"/>
    <mergeCell ref="AH4:AK4"/>
    <mergeCell ref="P2:AB2"/>
    <mergeCell ref="P3:P5"/>
    <mergeCell ref="Q3:S3"/>
    <mergeCell ref="T3:T5"/>
    <mergeCell ref="U3:AB3"/>
    <mergeCell ref="Q4:Q5"/>
    <mergeCell ref="R4:R5"/>
    <mergeCell ref="S4:S5"/>
    <mergeCell ref="U4:X4"/>
    <mergeCell ref="Y4:Y5"/>
    <mergeCell ref="A1:M1"/>
    <mergeCell ref="D3:F3"/>
    <mergeCell ref="A2:A5"/>
    <mergeCell ref="H3:O3"/>
    <mergeCell ref="H4:K4"/>
    <mergeCell ref="M4:O4"/>
    <mergeCell ref="L4:L5"/>
    <mergeCell ref="G3:G5"/>
    <mergeCell ref="F4:F5"/>
    <mergeCell ref="E4:E5"/>
    <mergeCell ref="D4:D5"/>
    <mergeCell ref="C2:O2"/>
    <mergeCell ref="C3:C5"/>
    <mergeCell ref="B2:B5"/>
  </mergeCells>
  <printOptions horizontalCentered="1"/>
  <pageMargins left="0" right="0" top="0.75" bottom="0.75" header="0" footer="0"/>
  <pageSetup horizontalDpi="600" verticalDpi="600" orientation="landscape" r:id="rId3"/>
  <headerFooter>
    <oddHeader>&amp;C&amp;"Time new roman,Bold"&amp;10Phụ biểu 12. Kết quả giải  ngân tiền DVMTR thu được năm 2014 của Quỹ Bảo vệ và Phát triển rừng tỉnh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1" sqref="D31"/>
    </sheetView>
  </sheetViews>
  <sheetFormatPr defaultColWidth="9.140625" defaultRowHeight="15"/>
  <cols>
    <col min="1" max="1" width="5.7109375" style="2" customWidth="1"/>
    <col min="2" max="2" width="39.00390625" style="2" customWidth="1"/>
    <col min="3" max="3" width="8.421875" style="2" customWidth="1"/>
    <col min="4" max="4" width="9.7109375" style="2" customWidth="1"/>
    <col min="5" max="5" width="8.140625" style="305" customWidth="1"/>
    <col min="6" max="6" width="8.140625" style="316" customWidth="1"/>
    <col min="7" max="17" width="8.140625" style="305" customWidth="1"/>
    <col min="18" max="18" width="7.00390625" style="305" customWidth="1"/>
    <col min="19" max="19" width="7.28125" style="305" customWidth="1"/>
    <col min="20" max="33" width="8.140625" style="305" customWidth="1"/>
    <col min="34" max="16384" width="9.140625" style="2" customWidth="1"/>
  </cols>
  <sheetData>
    <row r="1" ht="12.75">
      <c r="B1" s="497">
        <f>D32+D33</f>
        <v>172452</v>
      </c>
    </row>
    <row r="2" spans="1:33" s="5" customFormat="1" ht="15.75" customHeight="1">
      <c r="A2" s="895" t="s">
        <v>0</v>
      </c>
      <c r="B2" s="895" t="s">
        <v>1</v>
      </c>
      <c r="C2" s="893" t="s">
        <v>24</v>
      </c>
      <c r="D2" s="893" t="s">
        <v>212</v>
      </c>
      <c r="E2" s="902" t="s">
        <v>61</v>
      </c>
      <c r="F2" s="902"/>
      <c r="G2" s="902"/>
      <c r="H2" s="902"/>
      <c r="I2" s="902" t="s">
        <v>62</v>
      </c>
      <c r="J2" s="902"/>
      <c r="K2" s="902"/>
      <c r="L2" s="902"/>
      <c r="M2" s="902"/>
      <c r="N2" s="902"/>
      <c r="O2" s="902"/>
      <c r="P2" s="904" t="s">
        <v>63</v>
      </c>
      <c r="Q2" s="905"/>
      <c r="R2" s="905"/>
      <c r="S2" s="905"/>
      <c r="T2" s="906"/>
      <c r="U2" s="904" t="s">
        <v>64</v>
      </c>
      <c r="V2" s="905"/>
      <c r="W2" s="905"/>
      <c r="X2" s="905"/>
      <c r="Y2" s="905"/>
      <c r="Z2" s="906"/>
      <c r="AA2" s="904" t="s">
        <v>65</v>
      </c>
      <c r="AB2" s="905"/>
      <c r="AC2" s="905"/>
      <c r="AD2" s="905"/>
      <c r="AE2" s="906"/>
      <c r="AF2" s="902" t="s">
        <v>66</v>
      </c>
      <c r="AG2" s="902"/>
    </row>
    <row r="3" spans="1:33" s="5" customFormat="1" ht="27" customHeight="1">
      <c r="A3" s="896"/>
      <c r="B3" s="896"/>
      <c r="C3" s="894"/>
      <c r="D3" s="894"/>
      <c r="E3" s="57" t="s">
        <v>67</v>
      </c>
      <c r="F3" s="57" t="s">
        <v>68</v>
      </c>
      <c r="G3" s="57" t="s">
        <v>69</v>
      </c>
      <c r="H3" s="57" t="s">
        <v>70</v>
      </c>
      <c r="I3" s="57" t="s">
        <v>71</v>
      </c>
      <c r="J3" s="57" t="s">
        <v>72</v>
      </c>
      <c r="K3" s="57" t="s">
        <v>73</v>
      </c>
      <c r="L3" s="57" t="s">
        <v>74</v>
      </c>
      <c r="M3" s="57" t="s">
        <v>75</v>
      </c>
      <c r="N3" s="57" t="s">
        <v>76</v>
      </c>
      <c r="O3" s="57" t="s">
        <v>77</v>
      </c>
      <c r="P3" s="57" t="s">
        <v>78</v>
      </c>
      <c r="Q3" s="57" t="s">
        <v>79</v>
      </c>
      <c r="R3" s="57" t="s">
        <v>111</v>
      </c>
      <c r="S3" s="57" t="s">
        <v>80</v>
      </c>
      <c r="T3" s="57" t="s">
        <v>81</v>
      </c>
      <c r="U3" s="57" t="s">
        <v>82</v>
      </c>
      <c r="V3" s="57" t="s">
        <v>115</v>
      </c>
      <c r="W3" s="57" t="s">
        <v>83</v>
      </c>
      <c r="X3" s="57" t="s">
        <v>84</v>
      </c>
      <c r="Y3" s="57" t="s">
        <v>85</v>
      </c>
      <c r="Z3" s="57" t="s">
        <v>86</v>
      </c>
      <c r="AA3" s="57" t="s">
        <v>87</v>
      </c>
      <c r="AB3" s="57" t="s">
        <v>88</v>
      </c>
      <c r="AC3" s="57" t="s">
        <v>89</v>
      </c>
      <c r="AD3" s="57" t="s">
        <v>90</v>
      </c>
      <c r="AE3" s="57" t="s">
        <v>91</v>
      </c>
      <c r="AF3" s="57" t="s">
        <v>92</v>
      </c>
      <c r="AG3" s="57" t="s">
        <v>93</v>
      </c>
    </row>
    <row r="4" spans="1:33" s="5" customFormat="1" ht="12.75" customHeight="1">
      <c r="A4" s="898" t="s">
        <v>6</v>
      </c>
      <c r="B4" s="899"/>
      <c r="C4" s="900"/>
      <c r="D4" s="30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s="5" customFormat="1" ht="12.75" customHeight="1">
      <c r="A5" s="307">
        <v>1</v>
      </c>
      <c r="B5" s="9" t="s">
        <v>25</v>
      </c>
      <c r="C5" s="4"/>
      <c r="D5" s="319">
        <f aca="true" t="shared" si="0" ref="D5:D48">SUM(E5:AG5)</f>
        <v>76</v>
      </c>
      <c r="E5" s="57"/>
      <c r="F5" s="57">
        <f>SUM(F6:F8)</f>
        <v>11</v>
      </c>
      <c r="G5" s="57">
        <f aca="true" t="shared" si="1" ref="G5:AG5">SUM(G6:G8)</f>
        <v>0</v>
      </c>
      <c r="H5" s="57">
        <f t="shared" si="1"/>
        <v>3</v>
      </c>
      <c r="I5" s="57">
        <f t="shared" si="1"/>
        <v>0</v>
      </c>
      <c r="J5" s="57">
        <f t="shared" si="1"/>
        <v>0</v>
      </c>
      <c r="K5" s="57">
        <f t="shared" si="1"/>
        <v>4</v>
      </c>
      <c r="L5" s="57">
        <f t="shared" si="1"/>
        <v>0</v>
      </c>
      <c r="M5" s="57">
        <f t="shared" si="1"/>
        <v>0</v>
      </c>
      <c r="N5" s="57">
        <f t="shared" si="1"/>
        <v>0</v>
      </c>
      <c r="O5" s="57">
        <f t="shared" si="1"/>
        <v>0</v>
      </c>
      <c r="P5" s="57">
        <f t="shared" si="1"/>
        <v>0</v>
      </c>
      <c r="Q5" s="57">
        <f t="shared" si="1"/>
        <v>0</v>
      </c>
      <c r="R5" s="57">
        <f t="shared" si="1"/>
        <v>0</v>
      </c>
      <c r="S5" s="57">
        <f t="shared" si="1"/>
        <v>0</v>
      </c>
      <c r="T5" s="57">
        <f t="shared" si="1"/>
        <v>0</v>
      </c>
      <c r="U5" s="57">
        <f t="shared" si="1"/>
        <v>0</v>
      </c>
      <c r="V5" s="57"/>
      <c r="W5" s="57">
        <f t="shared" si="1"/>
        <v>0</v>
      </c>
      <c r="X5" s="57">
        <f t="shared" si="1"/>
        <v>0</v>
      </c>
      <c r="Y5" s="57">
        <f t="shared" si="1"/>
        <v>0</v>
      </c>
      <c r="Z5" s="57">
        <f t="shared" si="1"/>
        <v>0</v>
      </c>
      <c r="AA5" s="57">
        <f t="shared" si="1"/>
        <v>0</v>
      </c>
      <c r="AB5" s="57">
        <f t="shared" si="1"/>
        <v>0</v>
      </c>
      <c r="AC5" s="57">
        <f t="shared" si="1"/>
        <v>0</v>
      </c>
      <c r="AD5" s="57">
        <f t="shared" si="1"/>
        <v>27</v>
      </c>
      <c r="AE5" s="57">
        <f t="shared" si="1"/>
        <v>31</v>
      </c>
      <c r="AF5" s="57">
        <f t="shared" si="1"/>
        <v>0</v>
      </c>
      <c r="AG5" s="57">
        <f t="shared" si="1"/>
        <v>0</v>
      </c>
    </row>
    <row r="6" spans="1:33" s="5" customFormat="1" ht="12.75" customHeight="1">
      <c r="A6" s="6" t="s">
        <v>50</v>
      </c>
      <c r="B6" s="10" t="s">
        <v>2</v>
      </c>
      <c r="C6" s="7" t="s">
        <v>31</v>
      </c>
      <c r="D6" s="320">
        <f t="shared" si="0"/>
        <v>49</v>
      </c>
      <c r="E6" s="57"/>
      <c r="F6" s="59">
        <v>10</v>
      </c>
      <c r="G6" s="57"/>
      <c r="H6" s="57">
        <v>0</v>
      </c>
      <c r="I6" s="57"/>
      <c r="J6" s="57"/>
      <c r="K6" s="57">
        <v>3</v>
      </c>
      <c r="L6" s="57"/>
      <c r="M6" s="57"/>
      <c r="N6" s="57"/>
      <c r="O6" s="57"/>
      <c r="P6" s="57"/>
      <c r="Q6" s="57"/>
      <c r="R6" s="57"/>
      <c r="S6" s="57">
        <v>0</v>
      </c>
      <c r="T6" s="57"/>
      <c r="U6" s="57"/>
      <c r="V6" s="57"/>
      <c r="W6" s="57"/>
      <c r="X6" s="57"/>
      <c r="Y6" s="57"/>
      <c r="Z6" s="57"/>
      <c r="AA6" s="57"/>
      <c r="AB6" s="57"/>
      <c r="AC6" s="57">
        <v>0</v>
      </c>
      <c r="AD6" s="57">
        <v>25</v>
      </c>
      <c r="AE6" s="57">
        <v>11</v>
      </c>
      <c r="AF6" s="57"/>
      <c r="AG6" s="57"/>
    </row>
    <row r="7" spans="1:33" s="5" customFormat="1" ht="12.75" customHeight="1">
      <c r="A7" s="6" t="s">
        <v>51</v>
      </c>
      <c r="B7" s="10" t="s">
        <v>3</v>
      </c>
      <c r="C7" s="7" t="s">
        <v>31</v>
      </c>
      <c r="D7" s="320">
        <f t="shared" si="0"/>
        <v>16</v>
      </c>
      <c r="E7" s="57"/>
      <c r="F7" s="59">
        <v>1</v>
      </c>
      <c r="G7" s="57"/>
      <c r="H7" s="57">
        <v>3</v>
      </c>
      <c r="I7" s="57"/>
      <c r="J7" s="57"/>
      <c r="K7" s="57">
        <v>1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>
        <v>0</v>
      </c>
      <c r="AD7" s="57">
        <v>2</v>
      </c>
      <c r="AE7" s="57">
        <v>9</v>
      </c>
      <c r="AF7" s="57"/>
      <c r="AG7" s="57"/>
    </row>
    <row r="8" spans="1:33" s="5" customFormat="1" ht="12.75" customHeight="1">
      <c r="A8" s="6" t="s">
        <v>56</v>
      </c>
      <c r="B8" s="10" t="s">
        <v>4</v>
      </c>
      <c r="C8" s="7" t="s">
        <v>32</v>
      </c>
      <c r="D8" s="320">
        <f t="shared" si="0"/>
        <v>11</v>
      </c>
      <c r="E8" s="57"/>
      <c r="F8" s="59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>
        <v>0</v>
      </c>
      <c r="AD8" s="57"/>
      <c r="AE8" s="57">
        <v>11</v>
      </c>
      <c r="AF8" s="57"/>
      <c r="AG8" s="57"/>
    </row>
    <row r="9" spans="1:33" s="5" customFormat="1" ht="12.75" customHeight="1">
      <c r="A9" s="307">
        <v>2</v>
      </c>
      <c r="B9" s="9" t="s">
        <v>26</v>
      </c>
      <c r="C9" s="4"/>
      <c r="D9" s="319">
        <f t="shared" si="0"/>
        <v>113992</v>
      </c>
      <c r="E9" s="57"/>
      <c r="F9" s="57"/>
      <c r="G9" s="57">
        <f>G10+G15+G16</f>
        <v>0</v>
      </c>
      <c r="H9" s="57">
        <f aca="true" t="shared" si="2" ref="H9:AG9">H10+H15+H16</f>
        <v>17756</v>
      </c>
      <c r="I9" s="57">
        <f t="shared" si="2"/>
        <v>0</v>
      </c>
      <c r="J9" s="57">
        <f t="shared" si="2"/>
        <v>0</v>
      </c>
      <c r="K9" s="57">
        <f t="shared" si="2"/>
        <v>68790</v>
      </c>
      <c r="L9" s="57">
        <f t="shared" si="2"/>
        <v>20</v>
      </c>
      <c r="M9" s="57">
        <f t="shared" si="2"/>
        <v>11171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/>
      <c r="S9" s="57">
        <f t="shared" si="2"/>
        <v>0</v>
      </c>
      <c r="T9" s="57">
        <f t="shared" si="2"/>
        <v>0</v>
      </c>
      <c r="U9" s="57">
        <f t="shared" si="2"/>
        <v>0</v>
      </c>
      <c r="V9" s="57"/>
      <c r="W9" s="57">
        <f t="shared" si="2"/>
        <v>0</v>
      </c>
      <c r="X9" s="57">
        <f t="shared" si="2"/>
        <v>0</v>
      </c>
      <c r="Y9" s="57">
        <f t="shared" si="2"/>
        <v>0</v>
      </c>
      <c r="Z9" s="57">
        <f t="shared" si="2"/>
        <v>0</v>
      </c>
      <c r="AA9" s="57">
        <f t="shared" si="2"/>
        <v>0</v>
      </c>
      <c r="AB9" s="57">
        <f t="shared" si="2"/>
        <v>0</v>
      </c>
      <c r="AC9" s="57">
        <f t="shared" si="2"/>
        <v>1241</v>
      </c>
      <c r="AD9" s="57">
        <f t="shared" si="2"/>
        <v>717</v>
      </c>
      <c r="AE9" s="57">
        <f t="shared" si="2"/>
        <v>14297</v>
      </c>
      <c r="AF9" s="57">
        <f t="shared" si="2"/>
        <v>0</v>
      </c>
      <c r="AG9" s="57">
        <f t="shared" si="2"/>
        <v>0</v>
      </c>
    </row>
    <row r="10" spans="1:33" s="5" customFormat="1" ht="12.75" customHeight="1">
      <c r="A10" s="556" t="s">
        <v>21</v>
      </c>
      <c r="B10" s="9" t="s">
        <v>27</v>
      </c>
      <c r="C10" s="4"/>
      <c r="D10" s="319">
        <f t="shared" si="0"/>
        <v>25795</v>
      </c>
      <c r="E10" s="57"/>
      <c r="F10" s="57"/>
      <c r="G10" s="57">
        <f>G11+G14</f>
        <v>0</v>
      </c>
      <c r="H10" s="57">
        <f aca="true" t="shared" si="3" ref="H10:AG10">H11+H14</f>
        <v>17593</v>
      </c>
      <c r="I10" s="57">
        <f t="shared" si="3"/>
        <v>0</v>
      </c>
      <c r="J10" s="57">
        <f t="shared" si="3"/>
        <v>0</v>
      </c>
      <c r="K10" s="57">
        <f t="shared" si="3"/>
        <v>4</v>
      </c>
      <c r="L10" s="57">
        <f t="shared" si="3"/>
        <v>2</v>
      </c>
      <c r="M10" s="57">
        <f t="shared" si="3"/>
        <v>6042</v>
      </c>
      <c r="N10" s="57">
        <f t="shared" si="3"/>
        <v>0</v>
      </c>
      <c r="O10" s="57">
        <f t="shared" si="3"/>
        <v>0</v>
      </c>
      <c r="P10" s="57">
        <f t="shared" si="3"/>
        <v>0</v>
      </c>
      <c r="Q10" s="57">
        <f t="shared" si="3"/>
        <v>0</v>
      </c>
      <c r="R10" s="57"/>
      <c r="S10" s="57">
        <f t="shared" si="3"/>
        <v>0</v>
      </c>
      <c r="T10" s="57">
        <f t="shared" si="3"/>
        <v>0</v>
      </c>
      <c r="U10" s="57">
        <f t="shared" si="3"/>
        <v>0</v>
      </c>
      <c r="V10" s="57"/>
      <c r="W10" s="57">
        <f t="shared" si="3"/>
        <v>0</v>
      </c>
      <c r="X10" s="57">
        <f t="shared" si="3"/>
        <v>0</v>
      </c>
      <c r="Y10" s="57">
        <f t="shared" si="3"/>
        <v>0</v>
      </c>
      <c r="Z10" s="57">
        <f t="shared" si="3"/>
        <v>0</v>
      </c>
      <c r="AA10" s="57">
        <f t="shared" si="3"/>
        <v>0</v>
      </c>
      <c r="AB10" s="57">
        <f t="shared" si="3"/>
        <v>0</v>
      </c>
      <c r="AC10" s="57">
        <f t="shared" si="3"/>
        <v>180</v>
      </c>
      <c r="AD10" s="57">
        <f t="shared" si="3"/>
        <v>44</v>
      </c>
      <c r="AE10" s="57">
        <f t="shared" si="3"/>
        <v>1930</v>
      </c>
      <c r="AF10" s="57">
        <f t="shared" si="3"/>
        <v>0</v>
      </c>
      <c r="AG10" s="57">
        <f t="shared" si="3"/>
        <v>0</v>
      </c>
    </row>
    <row r="11" spans="1:33" ht="12.75" customHeight="1">
      <c r="A11" s="6" t="s">
        <v>54</v>
      </c>
      <c r="B11" s="10" t="s">
        <v>57</v>
      </c>
      <c r="C11" s="7"/>
      <c r="D11" s="320">
        <f t="shared" si="0"/>
        <v>179</v>
      </c>
      <c r="E11" s="59">
        <f>SUM(E12:E13)</f>
        <v>1</v>
      </c>
      <c r="F11" s="59">
        <f aca="true" t="shared" si="4" ref="F11:AG11">SUM(F12:F13)</f>
        <v>15</v>
      </c>
      <c r="G11" s="59">
        <f t="shared" si="4"/>
        <v>0</v>
      </c>
      <c r="H11" s="59">
        <f t="shared" si="4"/>
        <v>8</v>
      </c>
      <c r="I11" s="59">
        <f t="shared" si="4"/>
        <v>0</v>
      </c>
      <c r="J11" s="59">
        <f t="shared" si="4"/>
        <v>0</v>
      </c>
      <c r="K11" s="59">
        <f t="shared" si="4"/>
        <v>4</v>
      </c>
      <c r="L11" s="59">
        <f t="shared" si="4"/>
        <v>2</v>
      </c>
      <c r="M11" s="59">
        <f t="shared" si="4"/>
        <v>1</v>
      </c>
      <c r="N11" s="59">
        <f t="shared" si="4"/>
        <v>0</v>
      </c>
      <c r="O11" s="59">
        <f t="shared" si="4"/>
        <v>0</v>
      </c>
      <c r="P11" s="59">
        <f t="shared" si="4"/>
        <v>0</v>
      </c>
      <c r="Q11" s="59">
        <f t="shared" si="4"/>
        <v>0</v>
      </c>
      <c r="R11" s="59">
        <f t="shared" si="4"/>
        <v>0</v>
      </c>
      <c r="S11" s="59">
        <f t="shared" si="4"/>
        <v>0</v>
      </c>
      <c r="T11" s="59">
        <f t="shared" si="4"/>
        <v>0</v>
      </c>
      <c r="U11" s="59">
        <f t="shared" si="4"/>
        <v>0</v>
      </c>
      <c r="V11" s="59"/>
      <c r="W11" s="59">
        <f t="shared" si="4"/>
        <v>0</v>
      </c>
      <c r="X11" s="59">
        <f t="shared" si="4"/>
        <v>0</v>
      </c>
      <c r="Y11" s="59">
        <f t="shared" si="4"/>
        <v>0</v>
      </c>
      <c r="Z11" s="59">
        <f t="shared" si="4"/>
        <v>0</v>
      </c>
      <c r="AA11" s="59">
        <f t="shared" si="4"/>
        <v>0</v>
      </c>
      <c r="AB11" s="59">
        <f t="shared" si="4"/>
        <v>0</v>
      </c>
      <c r="AC11" s="59">
        <f t="shared" si="4"/>
        <v>68</v>
      </c>
      <c r="AD11" s="59">
        <f t="shared" si="4"/>
        <v>37</v>
      </c>
      <c r="AE11" s="59">
        <f t="shared" si="4"/>
        <v>43</v>
      </c>
      <c r="AF11" s="59">
        <f t="shared" si="4"/>
        <v>0</v>
      </c>
      <c r="AG11" s="59">
        <f t="shared" si="4"/>
        <v>0</v>
      </c>
    </row>
    <row r="12" spans="1:33" s="60" customFormat="1" ht="12.75" customHeight="1">
      <c r="A12" s="70"/>
      <c r="B12" s="317" t="s">
        <v>33</v>
      </c>
      <c r="C12" s="277" t="s">
        <v>28</v>
      </c>
      <c r="D12" s="320">
        <f t="shared" si="0"/>
        <v>135</v>
      </c>
      <c r="E12" s="312">
        <v>1</v>
      </c>
      <c r="F12" s="312">
        <v>14</v>
      </c>
      <c r="G12" s="312"/>
      <c r="H12" s="312">
        <v>6</v>
      </c>
      <c r="I12" s="312"/>
      <c r="J12" s="312"/>
      <c r="K12" s="312">
        <v>4</v>
      </c>
      <c r="L12" s="312">
        <v>2</v>
      </c>
      <c r="M12" s="312">
        <v>1</v>
      </c>
      <c r="N12" s="312"/>
      <c r="O12" s="312"/>
      <c r="P12" s="312"/>
      <c r="Q12" s="312"/>
      <c r="R12" s="312"/>
      <c r="S12" s="312">
        <v>0</v>
      </c>
      <c r="T12" s="312"/>
      <c r="U12" s="312"/>
      <c r="V12" s="312"/>
      <c r="W12" s="312"/>
      <c r="X12" s="312"/>
      <c r="Y12" s="312"/>
      <c r="Z12" s="312"/>
      <c r="AA12" s="312"/>
      <c r="AB12" s="312"/>
      <c r="AC12" s="312">
        <v>40</v>
      </c>
      <c r="AD12" s="312">
        <v>37</v>
      </c>
      <c r="AE12" s="312">
        <v>30</v>
      </c>
      <c r="AF12" s="312"/>
      <c r="AG12" s="312"/>
    </row>
    <row r="13" spans="1:33" s="60" customFormat="1" ht="12.75" customHeight="1">
      <c r="A13" s="70"/>
      <c r="B13" s="317" t="s">
        <v>34</v>
      </c>
      <c r="C13" s="277" t="s">
        <v>28</v>
      </c>
      <c r="D13" s="320">
        <f t="shared" si="0"/>
        <v>44</v>
      </c>
      <c r="E13" s="312"/>
      <c r="F13" s="312">
        <v>1</v>
      </c>
      <c r="G13" s="312"/>
      <c r="H13" s="312">
        <v>2</v>
      </c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>
        <v>0</v>
      </c>
      <c r="T13" s="312"/>
      <c r="U13" s="312"/>
      <c r="V13" s="312"/>
      <c r="W13" s="312"/>
      <c r="X13" s="312"/>
      <c r="Y13" s="312"/>
      <c r="Z13" s="312"/>
      <c r="AA13" s="312"/>
      <c r="AB13" s="312"/>
      <c r="AC13" s="312">
        <v>28</v>
      </c>
      <c r="AD13" s="312"/>
      <c r="AE13" s="312">
        <v>13</v>
      </c>
      <c r="AF13" s="312"/>
      <c r="AG13" s="312"/>
    </row>
    <row r="14" spans="1:33" ht="12.75" customHeight="1">
      <c r="A14" s="6" t="s">
        <v>55</v>
      </c>
      <c r="B14" s="10" t="s">
        <v>151</v>
      </c>
      <c r="C14" s="7" t="s">
        <v>152</v>
      </c>
      <c r="D14" s="320">
        <f t="shared" si="0"/>
        <v>63985</v>
      </c>
      <c r="E14" s="166">
        <f>387+460</f>
        <v>847</v>
      </c>
      <c r="F14" s="166">
        <v>37506</v>
      </c>
      <c r="G14" s="166"/>
      <c r="H14" s="166">
        <v>17585</v>
      </c>
      <c r="I14" s="166"/>
      <c r="J14" s="166"/>
      <c r="K14" s="166"/>
      <c r="L14" s="166"/>
      <c r="M14" s="166">
        <f>5104+637+300</f>
        <v>6041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>
        <v>112</v>
      </c>
      <c r="AD14" s="166">
        <v>7</v>
      </c>
      <c r="AE14" s="166">
        <v>1887</v>
      </c>
      <c r="AF14" s="166"/>
      <c r="AG14" s="166"/>
    </row>
    <row r="15" spans="1:33" s="318" customFormat="1" ht="12.75" customHeight="1">
      <c r="A15" s="307" t="s">
        <v>22</v>
      </c>
      <c r="B15" s="74" t="s">
        <v>37</v>
      </c>
      <c r="C15" s="4" t="s">
        <v>28</v>
      </c>
      <c r="D15" s="319">
        <f t="shared" si="0"/>
        <v>169</v>
      </c>
      <c r="E15" s="313"/>
      <c r="F15" s="313">
        <v>1</v>
      </c>
      <c r="G15" s="313"/>
      <c r="H15" s="313"/>
      <c r="I15" s="313"/>
      <c r="J15" s="313"/>
      <c r="K15" s="313">
        <v>8</v>
      </c>
      <c r="L15" s="313">
        <v>18</v>
      </c>
      <c r="M15" s="313">
        <v>25</v>
      </c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165">
        <v>27</v>
      </c>
      <c r="AD15" s="313">
        <v>90</v>
      </c>
      <c r="AE15" s="313"/>
      <c r="AF15" s="313"/>
      <c r="AG15" s="313"/>
    </row>
    <row r="16" spans="1:33" s="318" customFormat="1" ht="12.75" customHeight="1">
      <c r="A16" s="307" t="s">
        <v>23</v>
      </c>
      <c r="B16" s="9" t="s">
        <v>36</v>
      </c>
      <c r="C16" s="4" t="s">
        <v>153</v>
      </c>
      <c r="D16" s="319">
        <f t="shared" si="0"/>
        <v>113525</v>
      </c>
      <c r="E16" s="313">
        <f>E17+E18</f>
        <v>25496</v>
      </c>
      <c r="F16" s="313"/>
      <c r="G16" s="313"/>
      <c r="H16" s="313">
        <v>163</v>
      </c>
      <c r="I16" s="313"/>
      <c r="J16" s="313"/>
      <c r="K16" s="313">
        <v>68778</v>
      </c>
      <c r="L16" s="313"/>
      <c r="M16" s="313">
        <f>M17+M18</f>
        <v>5104</v>
      </c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165">
        <f>AC17+AC18</f>
        <v>1034</v>
      </c>
      <c r="AD16" s="313">
        <f>AD17+AD18</f>
        <v>583</v>
      </c>
      <c r="AE16" s="313">
        <f>AE17+AE18</f>
        <v>12367</v>
      </c>
      <c r="AF16" s="313">
        <f>AF17+AF18</f>
        <v>0</v>
      </c>
      <c r="AG16" s="313">
        <f>AG17+AG18</f>
        <v>0</v>
      </c>
    </row>
    <row r="17" spans="1:33" ht="12.75" customHeight="1">
      <c r="A17" s="6" t="s">
        <v>58</v>
      </c>
      <c r="B17" s="10" t="s">
        <v>29</v>
      </c>
      <c r="C17" s="7" t="s">
        <v>153</v>
      </c>
      <c r="D17" s="320">
        <f t="shared" si="0"/>
        <v>3518</v>
      </c>
      <c r="E17" s="166">
        <v>157</v>
      </c>
      <c r="F17" s="166"/>
      <c r="G17" s="166"/>
      <c r="H17" s="166"/>
      <c r="I17" s="166"/>
      <c r="J17" s="166"/>
      <c r="K17" s="166">
        <v>334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>
        <v>348</v>
      </c>
      <c r="AD17" s="166">
        <v>111</v>
      </c>
      <c r="AE17" s="166">
        <v>2568</v>
      </c>
      <c r="AF17" s="166"/>
      <c r="AG17" s="166"/>
    </row>
    <row r="18" spans="1:33" ht="12.75" customHeight="1">
      <c r="A18" s="6" t="s">
        <v>59</v>
      </c>
      <c r="B18" s="10" t="s">
        <v>30</v>
      </c>
      <c r="C18" s="7" t="s">
        <v>152</v>
      </c>
      <c r="D18" s="320">
        <f t="shared" si="0"/>
        <v>109844</v>
      </c>
      <c r="E18" s="166">
        <v>25339</v>
      </c>
      <c r="F18" s="166"/>
      <c r="G18" s="166"/>
      <c r="H18" s="166"/>
      <c r="I18" s="166"/>
      <c r="J18" s="166"/>
      <c r="K18" s="166">
        <v>68444</v>
      </c>
      <c r="L18" s="166"/>
      <c r="M18" s="166">
        <v>5104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>
        <v>686</v>
      </c>
      <c r="AD18" s="166">
        <v>472</v>
      </c>
      <c r="AE18" s="166">
        <v>9799</v>
      </c>
      <c r="AF18" s="166"/>
      <c r="AG18" s="166"/>
    </row>
    <row r="19" spans="1:33" s="5" customFormat="1" ht="12.75" customHeight="1">
      <c r="A19" s="901" t="s">
        <v>7</v>
      </c>
      <c r="B19" s="901"/>
      <c r="C19" s="901"/>
      <c r="D19" s="319">
        <f t="shared" si="0"/>
        <v>0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314"/>
      <c r="AD19" s="165"/>
      <c r="AE19" s="165"/>
      <c r="AF19" s="165"/>
      <c r="AG19" s="165"/>
    </row>
    <row r="20" spans="1:33" s="5" customFormat="1" ht="12.75" customHeight="1">
      <c r="A20" s="307">
        <v>1</v>
      </c>
      <c r="B20" s="9" t="s">
        <v>25</v>
      </c>
      <c r="C20" s="4"/>
      <c r="D20" s="319">
        <f t="shared" si="0"/>
        <v>174</v>
      </c>
      <c r="E20" s="165">
        <f>SUM(E21:E23)</f>
        <v>7</v>
      </c>
      <c r="F20" s="165">
        <f aca="true" t="shared" si="5" ref="F20:AG20">SUM(F21:F23)</f>
        <v>11</v>
      </c>
      <c r="G20" s="165">
        <f t="shared" si="5"/>
        <v>4</v>
      </c>
      <c r="H20" s="165">
        <f t="shared" si="5"/>
        <v>3</v>
      </c>
      <c r="I20" s="165">
        <f t="shared" si="5"/>
        <v>6</v>
      </c>
      <c r="J20" s="165">
        <f t="shared" si="5"/>
        <v>33</v>
      </c>
      <c r="K20" s="165">
        <f t="shared" si="5"/>
        <v>6</v>
      </c>
      <c r="L20" s="165">
        <f t="shared" si="5"/>
        <v>0</v>
      </c>
      <c r="M20" s="165">
        <f t="shared" si="5"/>
        <v>0</v>
      </c>
      <c r="N20" s="165">
        <f t="shared" si="5"/>
        <v>0</v>
      </c>
      <c r="O20" s="165">
        <f t="shared" si="5"/>
        <v>0</v>
      </c>
      <c r="P20" s="165">
        <f t="shared" si="5"/>
        <v>0</v>
      </c>
      <c r="Q20" s="165">
        <f t="shared" si="5"/>
        <v>3</v>
      </c>
      <c r="R20" s="165">
        <f t="shared" si="5"/>
        <v>0</v>
      </c>
      <c r="S20" s="165">
        <f t="shared" si="5"/>
        <v>1</v>
      </c>
      <c r="T20" s="165">
        <f t="shared" si="5"/>
        <v>2</v>
      </c>
      <c r="U20" s="165">
        <f t="shared" si="5"/>
        <v>9</v>
      </c>
      <c r="V20" s="165"/>
      <c r="W20" s="165">
        <f t="shared" si="5"/>
        <v>0</v>
      </c>
      <c r="X20" s="165">
        <f t="shared" si="5"/>
        <v>0</v>
      </c>
      <c r="Y20" s="165">
        <f t="shared" si="5"/>
        <v>0</v>
      </c>
      <c r="Z20" s="165">
        <f t="shared" si="5"/>
        <v>0</v>
      </c>
      <c r="AA20" s="165">
        <f t="shared" si="5"/>
        <v>11</v>
      </c>
      <c r="AB20" s="165">
        <f t="shared" si="5"/>
        <v>8</v>
      </c>
      <c r="AC20" s="165">
        <f t="shared" si="5"/>
        <v>6</v>
      </c>
      <c r="AD20" s="165">
        <f t="shared" si="5"/>
        <v>30</v>
      </c>
      <c r="AE20" s="165">
        <f t="shared" si="5"/>
        <v>34</v>
      </c>
      <c r="AF20" s="165">
        <f t="shared" si="5"/>
        <v>0</v>
      </c>
      <c r="AG20" s="165">
        <f t="shared" si="5"/>
        <v>0</v>
      </c>
    </row>
    <row r="21" spans="1:33" ht="12.75" customHeight="1">
      <c r="A21" s="6" t="s">
        <v>50</v>
      </c>
      <c r="B21" s="10" t="s">
        <v>2</v>
      </c>
      <c r="C21" s="7" t="s">
        <v>31</v>
      </c>
      <c r="D21" s="320">
        <f t="shared" si="0"/>
        <v>124</v>
      </c>
      <c r="E21" s="166">
        <v>4</v>
      </c>
      <c r="F21" s="59">
        <v>10</v>
      </c>
      <c r="G21" s="166">
        <v>4</v>
      </c>
      <c r="H21" s="166">
        <v>0</v>
      </c>
      <c r="I21" s="166">
        <v>4</v>
      </c>
      <c r="J21" s="166">
        <v>17</v>
      </c>
      <c r="K21" s="166">
        <v>5</v>
      </c>
      <c r="L21" s="166"/>
      <c r="M21" s="166"/>
      <c r="N21" s="166"/>
      <c r="O21" s="166"/>
      <c r="P21" s="166"/>
      <c r="Q21" s="166">
        <v>3</v>
      </c>
      <c r="R21" s="166"/>
      <c r="S21" s="166">
        <v>1</v>
      </c>
      <c r="T21" s="166">
        <v>1</v>
      </c>
      <c r="U21" s="166">
        <v>9</v>
      </c>
      <c r="V21" s="166"/>
      <c r="W21" s="166"/>
      <c r="X21" s="166"/>
      <c r="Y21" s="166"/>
      <c r="Z21" s="166"/>
      <c r="AA21" s="166">
        <v>11</v>
      </c>
      <c r="AB21" s="166">
        <v>8</v>
      </c>
      <c r="AC21" s="166">
        <v>5</v>
      </c>
      <c r="AD21" s="166">
        <v>28</v>
      </c>
      <c r="AE21" s="166">
        <v>14</v>
      </c>
      <c r="AF21" s="166"/>
      <c r="AG21" s="166"/>
    </row>
    <row r="22" spans="1:33" ht="12.75" customHeight="1">
      <c r="A22" s="6" t="s">
        <v>51</v>
      </c>
      <c r="B22" s="10" t="s">
        <v>3</v>
      </c>
      <c r="C22" s="7" t="s">
        <v>31</v>
      </c>
      <c r="D22" s="320">
        <f t="shared" si="0"/>
        <v>24</v>
      </c>
      <c r="E22" s="166">
        <v>3</v>
      </c>
      <c r="F22" s="59">
        <v>1</v>
      </c>
      <c r="G22" s="166"/>
      <c r="H22" s="166">
        <v>3</v>
      </c>
      <c r="I22" s="166">
        <v>2</v>
      </c>
      <c r="J22" s="166">
        <v>1</v>
      </c>
      <c r="K22" s="166">
        <v>1</v>
      </c>
      <c r="L22" s="166"/>
      <c r="M22" s="166"/>
      <c r="N22" s="166"/>
      <c r="O22" s="166"/>
      <c r="P22" s="166"/>
      <c r="Q22" s="166">
        <v>0</v>
      </c>
      <c r="R22" s="166"/>
      <c r="S22" s="166"/>
      <c r="T22" s="166">
        <v>1</v>
      </c>
      <c r="U22" s="166"/>
      <c r="V22" s="166"/>
      <c r="W22" s="166"/>
      <c r="X22" s="166"/>
      <c r="Y22" s="166"/>
      <c r="Z22" s="166"/>
      <c r="AA22" s="166"/>
      <c r="AB22" s="166"/>
      <c r="AC22" s="166">
        <v>1</v>
      </c>
      <c r="AD22" s="166">
        <v>2</v>
      </c>
      <c r="AE22" s="166">
        <v>9</v>
      </c>
      <c r="AF22" s="166"/>
      <c r="AG22" s="166"/>
    </row>
    <row r="23" spans="1:33" ht="12.75" customHeight="1">
      <c r="A23" s="6" t="s">
        <v>56</v>
      </c>
      <c r="B23" s="10" t="s">
        <v>4</v>
      </c>
      <c r="C23" s="7" t="s">
        <v>32</v>
      </c>
      <c r="D23" s="320">
        <f t="shared" si="0"/>
        <v>26</v>
      </c>
      <c r="E23" s="166"/>
      <c r="F23" s="59"/>
      <c r="G23" s="166"/>
      <c r="H23" s="166"/>
      <c r="I23" s="166"/>
      <c r="J23" s="166">
        <v>15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>
        <v>11</v>
      </c>
      <c r="AF23" s="166"/>
      <c r="AG23" s="166"/>
    </row>
    <row r="24" spans="1:33" s="5" customFormat="1" ht="12.75" customHeight="1">
      <c r="A24" s="307">
        <v>2</v>
      </c>
      <c r="B24" s="9" t="s">
        <v>26</v>
      </c>
      <c r="C24" s="4"/>
      <c r="D24" s="319">
        <f t="shared" si="0"/>
        <v>224127</v>
      </c>
      <c r="E24" s="165"/>
      <c r="F24" s="57"/>
      <c r="G24" s="57">
        <f aca="true" t="shared" si="6" ref="G24:Q24">G25+G30+G31</f>
        <v>54325</v>
      </c>
      <c r="H24" s="57">
        <f t="shared" si="6"/>
        <v>17756</v>
      </c>
      <c r="I24" s="57">
        <f t="shared" si="6"/>
        <v>39053</v>
      </c>
      <c r="J24" s="57">
        <f t="shared" si="6"/>
        <v>9494</v>
      </c>
      <c r="K24" s="57">
        <f t="shared" si="6"/>
        <v>68786</v>
      </c>
      <c r="L24" s="57">
        <f t="shared" si="6"/>
        <v>28</v>
      </c>
      <c r="M24" s="57">
        <f t="shared" si="6"/>
        <v>11171</v>
      </c>
      <c r="N24" s="57">
        <f t="shared" si="6"/>
        <v>0</v>
      </c>
      <c r="O24" s="57">
        <f t="shared" si="6"/>
        <v>0</v>
      </c>
      <c r="P24" s="57">
        <f t="shared" si="6"/>
        <v>0</v>
      </c>
      <c r="Q24" s="57">
        <f t="shared" si="6"/>
        <v>873</v>
      </c>
      <c r="R24" s="57"/>
      <c r="S24" s="57">
        <f aca="true" t="shared" si="7" ref="S24:AG24">S25+S30+S31</f>
        <v>5</v>
      </c>
      <c r="T24" s="57">
        <f t="shared" si="7"/>
        <v>0</v>
      </c>
      <c r="U24" s="57">
        <f t="shared" si="7"/>
        <v>112</v>
      </c>
      <c r="V24" s="57"/>
      <c r="W24" s="57">
        <f t="shared" si="7"/>
        <v>0</v>
      </c>
      <c r="X24" s="57">
        <f t="shared" si="7"/>
        <v>0</v>
      </c>
      <c r="Y24" s="57">
        <f t="shared" si="7"/>
        <v>0</v>
      </c>
      <c r="Z24" s="57">
        <f t="shared" si="7"/>
        <v>0</v>
      </c>
      <c r="AA24" s="57">
        <f t="shared" si="7"/>
        <v>1225</v>
      </c>
      <c r="AB24" s="57">
        <f t="shared" si="7"/>
        <v>22</v>
      </c>
      <c r="AC24" s="57">
        <f t="shared" si="7"/>
        <v>1236</v>
      </c>
      <c r="AD24" s="57">
        <f t="shared" si="7"/>
        <v>1401</v>
      </c>
      <c r="AE24" s="57">
        <f t="shared" si="7"/>
        <v>18640</v>
      </c>
      <c r="AF24" s="57">
        <f t="shared" si="7"/>
        <v>0</v>
      </c>
      <c r="AG24" s="57">
        <f t="shared" si="7"/>
        <v>0</v>
      </c>
    </row>
    <row r="25" spans="1:33" s="5" customFormat="1" ht="12.75" customHeight="1">
      <c r="A25" s="556" t="s">
        <v>21</v>
      </c>
      <c r="B25" s="9" t="s">
        <v>27</v>
      </c>
      <c r="C25" s="4"/>
      <c r="D25" s="319">
        <f t="shared" si="0"/>
        <v>58681</v>
      </c>
      <c r="E25" s="165"/>
      <c r="F25" s="57"/>
      <c r="G25" s="57">
        <f>G26+G29</f>
        <v>170</v>
      </c>
      <c r="H25" s="57">
        <f aca="true" t="shared" si="8" ref="H25:AG25">H26+H29</f>
        <v>17593</v>
      </c>
      <c r="I25" s="57">
        <f t="shared" si="8"/>
        <v>21821</v>
      </c>
      <c r="J25" s="57">
        <f t="shared" si="8"/>
        <v>9456</v>
      </c>
      <c r="K25" s="57">
        <f t="shared" si="8"/>
        <v>0</v>
      </c>
      <c r="L25" s="57">
        <f t="shared" si="8"/>
        <v>2</v>
      </c>
      <c r="M25" s="57">
        <f t="shared" si="8"/>
        <v>6042</v>
      </c>
      <c r="N25" s="57">
        <f t="shared" si="8"/>
        <v>0</v>
      </c>
      <c r="O25" s="57">
        <f t="shared" si="8"/>
        <v>0</v>
      </c>
      <c r="P25" s="57">
        <f t="shared" si="8"/>
        <v>0</v>
      </c>
      <c r="Q25" s="57">
        <f t="shared" si="8"/>
        <v>3</v>
      </c>
      <c r="R25" s="57"/>
      <c r="S25" s="57">
        <f t="shared" si="8"/>
        <v>4</v>
      </c>
      <c r="T25" s="57">
        <f t="shared" si="8"/>
        <v>0</v>
      </c>
      <c r="U25" s="57">
        <f t="shared" si="8"/>
        <v>1</v>
      </c>
      <c r="V25" s="57"/>
      <c r="W25" s="57">
        <f t="shared" si="8"/>
        <v>0</v>
      </c>
      <c r="X25" s="57">
        <f t="shared" si="8"/>
        <v>0</v>
      </c>
      <c r="Y25" s="57">
        <f t="shared" si="8"/>
        <v>0</v>
      </c>
      <c r="Z25" s="57">
        <f t="shared" si="8"/>
        <v>0</v>
      </c>
      <c r="AA25" s="57">
        <f t="shared" si="8"/>
        <v>1225</v>
      </c>
      <c r="AB25" s="57">
        <f t="shared" si="8"/>
        <v>22</v>
      </c>
      <c r="AC25" s="57">
        <f t="shared" si="8"/>
        <v>157</v>
      </c>
      <c r="AD25" s="57">
        <f t="shared" si="8"/>
        <v>44</v>
      </c>
      <c r="AE25" s="57">
        <f t="shared" si="8"/>
        <v>2141</v>
      </c>
      <c r="AF25" s="57">
        <f t="shared" si="8"/>
        <v>0</v>
      </c>
      <c r="AG25" s="57">
        <f t="shared" si="8"/>
        <v>0</v>
      </c>
    </row>
    <row r="26" spans="1:33" ht="12.75" customHeight="1">
      <c r="A26" s="6" t="s">
        <v>54</v>
      </c>
      <c r="B26" s="10" t="s">
        <v>57</v>
      </c>
      <c r="C26" s="7"/>
      <c r="D26" s="320">
        <f t="shared" si="0"/>
        <v>262</v>
      </c>
      <c r="E26" s="166">
        <f>SUM(E27:E28)</f>
        <v>1</v>
      </c>
      <c r="F26" s="166">
        <f aca="true" t="shared" si="9" ref="F26:AG26">SUM(F27:F28)</f>
        <v>15</v>
      </c>
      <c r="G26" s="166">
        <f t="shared" si="9"/>
        <v>5</v>
      </c>
      <c r="H26" s="166">
        <f t="shared" si="9"/>
        <v>8</v>
      </c>
      <c r="I26" s="166">
        <f t="shared" si="9"/>
        <v>10</v>
      </c>
      <c r="J26" s="166">
        <f t="shared" si="9"/>
        <v>10</v>
      </c>
      <c r="K26" s="166">
        <f t="shared" si="9"/>
        <v>0</v>
      </c>
      <c r="L26" s="166">
        <f t="shared" si="9"/>
        <v>2</v>
      </c>
      <c r="M26" s="166">
        <f t="shared" si="9"/>
        <v>1</v>
      </c>
      <c r="N26" s="166">
        <f t="shared" si="9"/>
        <v>0</v>
      </c>
      <c r="O26" s="166">
        <f t="shared" si="9"/>
        <v>0</v>
      </c>
      <c r="P26" s="166">
        <f t="shared" si="9"/>
        <v>0</v>
      </c>
      <c r="Q26" s="166">
        <f t="shared" si="9"/>
        <v>3</v>
      </c>
      <c r="R26" s="166">
        <f t="shared" si="9"/>
        <v>0</v>
      </c>
      <c r="S26" s="166">
        <f t="shared" si="9"/>
        <v>4</v>
      </c>
      <c r="T26" s="166">
        <f t="shared" si="9"/>
        <v>0</v>
      </c>
      <c r="U26" s="166">
        <f t="shared" si="9"/>
        <v>1</v>
      </c>
      <c r="V26" s="166"/>
      <c r="W26" s="166">
        <f t="shared" si="9"/>
        <v>0</v>
      </c>
      <c r="X26" s="166">
        <f t="shared" si="9"/>
        <v>0</v>
      </c>
      <c r="Y26" s="166">
        <f t="shared" si="9"/>
        <v>0</v>
      </c>
      <c r="Z26" s="166">
        <f t="shared" si="9"/>
        <v>0</v>
      </c>
      <c r="AA26" s="166">
        <f t="shared" si="9"/>
        <v>19</v>
      </c>
      <c r="AB26" s="166">
        <f t="shared" si="9"/>
        <v>22</v>
      </c>
      <c r="AC26" s="166">
        <f t="shared" si="9"/>
        <v>68</v>
      </c>
      <c r="AD26" s="166">
        <f t="shared" si="9"/>
        <v>37</v>
      </c>
      <c r="AE26" s="166">
        <f t="shared" si="9"/>
        <v>56</v>
      </c>
      <c r="AF26" s="166">
        <f t="shared" si="9"/>
        <v>0</v>
      </c>
      <c r="AG26" s="166">
        <f t="shared" si="9"/>
        <v>0</v>
      </c>
    </row>
    <row r="27" spans="1:33" s="60" customFormat="1" ht="12.75" customHeight="1">
      <c r="A27" s="70"/>
      <c r="B27" s="317" t="s">
        <v>33</v>
      </c>
      <c r="C27" s="277" t="s">
        <v>28</v>
      </c>
      <c r="D27" s="320">
        <f t="shared" si="0"/>
        <v>184</v>
      </c>
      <c r="E27" s="312">
        <v>1</v>
      </c>
      <c r="F27" s="312">
        <v>14</v>
      </c>
      <c r="G27" s="312"/>
      <c r="H27" s="312">
        <v>6</v>
      </c>
      <c r="I27" s="312">
        <v>4</v>
      </c>
      <c r="J27" s="312">
        <v>10</v>
      </c>
      <c r="K27" s="312"/>
      <c r="L27" s="312">
        <v>2</v>
      </c>
      <c r="M27" s="312">
        <v>1</v>
      </c>
      <c r="N27" s="312"/>
      <c r="O27" s="312"/>
      <c r="P27" s="312"/>
      <c r="Q27" s="312">
        <v>3</v>
      </c>
      <c r="R27" s="312"/>
      <c r="S27" s="312">
        <v>3</v>
      </c>
      <c r="T27" s="312"/>
      <c r="U27" s="312">
        <v>1</v>
      </c>
      <c r="V27" s="312"/>
      <c r="W27" s="312"/>
      <c r="X27" s="312"/>
      <c r="Y27" s="312"/>
      <c r="Z27" s="312"/>
      <c r="AA27" s="312">
        <v>18</v>
      </c>
      <c r="AB27" s="312">
        <v>15</v>
      </c>
      <c r="AC27" s="312">
        <v>40</v>
      </c>
      <c r="AD27" s="312">
        <v>37</v>
      </c>
      <c r="AE27" s="312">
        <v>29</v>
      </c>
      <c r="AF27" s="312"/>
      <c r="AG27" s="312"/>
    </row>
    <row r="28" spans="1:33" s="60" customFormat="1" ht="12.75" customHeight="1">
      <c r="A28" s="70"/>
      <c r="B28" s="317" t="s">
        <v>34</v>
      </c>
      <c r="C28" s="277" t="s">
        <v>28</v>
      </c>
      <c r="D28" s="320">
        <f t="shared" si="0"/>
        <v>78</v>
      </c>
      <c r="E28" s="312"/>
      <c r="F28" s="312">
        <v>1</v>
      </c>
      <c r="G28" s="312">
        <v>5</v>
      </c>
      <c r="H28" s="312">
        <v>2</v>
      </c>
      <c r="I28" s="312">
        <v>6</v>
      </c>
      <c r="J28" s="312"/>
      <c r="K28" s="312"/>
      <c r="L28" s="312"/>
      <c r="M28" s="312"/>
      <c r="N28" s="312"/>
      <c r="O28" s="312"/>
      <c r="P28" s="312"/>
      <c r="Q28" s="312"/>
      <c r="R28" s="312"/>
      <c r="S28" s="312">
        <v>1</v>
      </c>
      <c r="T28" s="312"/>
      <c r="U28" s="312"/>
      <c r="V28" s="312"/>
      <c r="W28" s="312"/>
      <c r="X28" s="312"/>
      <c r="Y28" s="312"/>
      <c r="Z28" s="312"/>
      <c r="AA28" s="312">
        <v>1</v>
      </c>
      <c r="AB28" s="312">
        <v>7</v>
      </c>
      <c r="AC28" s="312">
        <v>28</v>
      </c>
      <c r="AD28" s="312"/>
      <c r="AE28" s="312">
        <v>27</v>
      </c>
      <c r="AF28" s="312"/>
      <c r="AG28" s="312"/>
    </row>
    <row r="29" spans="1:33" ht="12.75" customHeight="1">
      <c r="A29" s="6" t="s">
        <v>55</v>
      </c>
      <c r="B29" s="10" t="s">
        <v>151</v>
      </c>
      <c r="C29" s="7" t="s">
        <v>152</v>
      </c>
      <c r="D29" s="320">
        <f t="shared" si="0"/>
        <v>96788</v>
      </c>
      <c r="E29" s="166">
        <v>847</v>
      </c>
      <c r="F29" s="166">
        <v>37506</v>
      </c>
      <c r="G29" s="166">
        <v>165</v>
      </c>
      <c r="H29" s="166">
        <v>17585</v>
      </c>
      <c r="I29" s="166">
        <v>21811</v>
      </c>
      <c r="J29" s="166">
        <v>9446</v>
      </c>
      <c r="K29" s="166"/>
      <c r="L29" s="166"/>
      <c r="M29" s="166">
        <f>5104+637+300</f>
        <v>6041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>
        <v>1206</v>
      </c>
      <c r="AB29" s="166"/>
      <c r="AC29" s="166">
        <v>89</v>
      </c>
      <c r="AD29" s="166">
        <v>7</v>
      </c>
      <c r="AE29" s="166">
        <v>2085</v>
      </c>
      <c r="AF29" s="166"/>
      <c r="AG29" s="166"/>
    </row>
    <row r="30" spans="1:33" s="5" customFormat="1" ht="12.75" customHeight="1">
      <c r="A30" s="307" t="s">
        <v>22</v>
      </c>
      <c r="B30" s="74" t="s">
        <v>37</v>
      </c>
      <c r="C30" s="4" t="s">
        <v>28</v>
      </c>
      <c r="D30" s="319">
        <f t="shared" si="0"/>
        <v>233</v>
      </c>
      <c r="E30" s="165"/>
      <c r="F30" s="165">
        <v>1</v>
      </c>
      <c r="G30" s="165">
        <v>10</v>
      </c>
      <c r="H30" s="165"/>
      <c r="I30" s="165">
        <v>7</v>
      </c>
      <c r="J30" s="165">
        <v>38</v>
      </c>
      <c r="K30" s="165">
        <v>8</v>
      </c>
      <c r="L30" s="165">
        <v>26</v>
      </c>
      <c r="M30" s="165">
        <v>25</v>
      </c>
      <c r="N30" s="165"/>
      <c r="O30" s="165"/>
      <c r="P30" s="165"/>
      <c r="Q30" s="165"/>
      <c r="R30" s="165"/>
      <c r="S30" s="165">
        <v>1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>
        <v>27</v>
      </c>
      <c r="AD30" s="165">
        <v>90</v>
      </c>
      <c r="AE30" s="165"/>
      <c r="AF30" s="165"/>
      <c r="AG30" s="165"/>
    </row>
    <row r="31" spans="1:33" s="5" customFormat="1" ht="12.75" customHeight="1">
      <c r="A31" s="307" t="s">
        <v>23</v>
      </c>
      <c r="B31" s="9" t="s">
        <v>36</v>
      </c>
      <c r="C31" s="4" t="s">
        <v>153</v>
      </c>
      <c r="D31" s="319">
        <f>SUM(E31:AG31)</f>
        <v>190710</v>
      </c>
      <c r="E31" s="313">
        <f>E32+E33</f>
        <v>25496</v>
      </c>
      <c r="F31" s="165"/>
      <c r="G31" s="165">
        <v>54145</v>
      </c>
      <c r="H31" s="165">
        <v>163</v>
      </c>
      <c r="I31" s="165">
        <v>17225</v>
      </c>
      <c r="J31" s="165"/>
      <c r="K31" s="165">
        <v>68778</v>
      </c>
      <c r="L31" s="165"/>
      <c r="M31" s="313">
        <f>M32+M33</f>
        <v>5104</v>
      </c>
      <c r="N31" s="165"/>
      <c r="O31" s="165"/>
      <c r="P31" s="165"/>
      <c r="Q31" s="165">
        <v>870</v>
      </c>
      <c r="R31" s="165"/>
      <c r="S31" s="165"/>
      <c r="T31" s="165"/>
      <c r="U31" s="165">
        <v>111</v>
      </c>
      <c r="V31" s="165"/>
      <c r="W31" s="165"/>
      <c r="X31" s="165"/>
      <c r="Y31" s="165"/>
      <c r="Z31" s="165"/>
      <c r="AA31" s="165"/>
      <c r="AB31" s="165"/>
      <c r="AC31" s="165">
        <f>AC32+AC33</f>
        <v>1052</v>
      </c>
      <c r="AD31" s="165">
        <f>AD32+AD33</f>
        <v>1267</v>
      </c>
      <c r="AE31" s="165">
        <f>AE32+AE33</f>
        <v>16499</v>
      </c>
      <c r="AF31" s="165">
        <f>AF32+AF33</f>
        <v>0</v>
      </c>
      <c r="AG31" s="165">
        <f>AG32+AG33</f>
        <v>0</v>
      </c>
    </row>
    <row r="32" spans="1:33" s="60" customFormat="1" ht="12.75" customHeight="1">
      <c r="A32" s="70" t="s">
        <v>58</v>
      </c>
      <c r="B32" s="71" t="s">
        <v>29</v>
      </c>
      <c r="C32" s="7" t="s">
        <v>153</v>
      </c>
      <c r="D32" s="320">
        <f t="shared" si="0"/>
        <v>5770</v>
      </c>
      <c r="E32" s="312">
        <v>157</v>
      </c>
      <c r="F32" s="312"/>
      <c r="G32" s="312">
        <v>1139</v>
      </c>
      <c r="H32" s="312"/>
      <c r="I32" s="312"/>
      <c r="J32" s="312"/>
      <c r="K32" s="312">
        <v>334</v>
      </c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>
        <v>422</v>
      </c>
      <c r="AD32" s="312">
        <v>134</v>
      </c>
      <c r="AE32" s="312">
        <v>3584</v>
      </c>
      <c r="AF32" s="312"/>
      <c r="AG32" s="312"/>
    </row>
    <row r="33" spans="1:33" s="60" customFormat="1" ht="12.75" customHeight="1">
      <c r="A33" s="70" t="s">
        <v>59</v>
      </c>
      <c r="B33" s="71" t="s">
        <v>30</v>
      </c>
      <c r="C33" s="7" t="s">
        <v>152</v>
      </c>
      <c r="D33" s="320">
        <f t="shared" si="0"/>
        <v>166682</v>
      </c>
      <c r="E33" s="312">
        <v>25339</v>
      </c>
      <c r="F33" s="312"/>
      <c r="G33" s="312">
        <v>53006</v>
      </c>
      <c r="H33" s="312"/>
      <c r="I33" s="312"/>
      <c r="J33" s="312"/>
      <c r="K33" s="312">
        <v>68444</v>
      </c>
      <c r="L33" s="312"/>
      <c r="M33" s="312">
        <v>5104</v>
      </c>
      <c r="N33" s="312"/>
      <c r="O33" s="312"/>
      <c r="P33" s="312"/>
      <c r="Q33" s="312"/>
      <c r="R33" s="312"/>
      <c r="S33" s="312"/>
      <c r="T33" s="312"/>
      <c r="U33" s="312">
        <v>111</v>
      </c>
      <c r="V33" s="312"/>
      <c r="W33" s="312"/>
      <c r="X33" s="312"/>
      <c r="Y33" s="312"/>
      <c r="Z33" s="312"/>
      <c r="AA33" s="312"/>
      <c r="AB33" s="312"/>
      <c r="AC33" s="312">
        <v>630</v>
      </c>
      <c r="AD33" s="312">
        <v>1133</v>
      </c>
      <c r="AE33" s="312">
        <v>12915</v>
      </c>
      <c r="AF33" s="312"/>
      <c r="AG33" s="312"/>
    </row>
    <row r="34" spans="1:33" ht="12.75" customHeight="1">
      <c r="A34" s="901" t="s">
        <v>8</v>
      </c>
      <c r="B34" s="901"/>
      <c r="C34" s="901"/>
      <c r="D34" s="319">
        <f t="shared" si="0"/>
        <v>0</v>
      </c>
      <c r="E34" s="166"/>
      <c r="F34" s="165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5"/>
      <c r="AD34" s="166"/>
      <c r="AE34" s="166"/>
      <c r="AF34" s="166"/>
      <c r="AG34" s="166"/>
    </row>
    <row r="35" spans="1:33" s="5" customFormat="1" ht="12.75" customHeight="1">
      <c r="A35" s="307">
        <v>1</v>
      </c>
      <c r="B35" s="9" t="s">
        <v>25</v>
      </c>
      <c r="C35" s="4"/>
      <c r="D35" s="319">
        <f>SUM(E35:AG35)</f>
        <v>297</v>
      </c>
      <c r="E35" s="165">
        <f>SUM(E36:E38)</f>
        <v>8</v>
      </c>
      <c r="F35" s="165">
        <f aca="true" t="shared" si="10" ref="F35:AG35">SUM(F36:F38)</f>
        <v>11</v>
      </c>
      <c r="G35" s="165">
        <f t="shared" si="10"/>
        <v>5</v>
      </c>
      <c r="H35" s="165">
        <f t="shared" si="10"/>
        <v>8</v>
      </c>
      <c r="I35" s="165">
        <f t="shared" si="10"/>
        <v>10</v>
      </c>
      <c r="J35" s="165">
        <f t="shared" si="10"/>
        <v>56</v>
      </c>
      <c r="K35" s="165">
        <f t="shared" si="10"/>
        <v>29</v>
      </c>
      <c r="L35" s="165">
        <f t="shared" si="10"/>
        <v>0</v>
      </c>
      <c r="M35" s="165">
        <f t="shared" si="10"/>
        <v>0</v>
      </c>
      <c r="N35" s="165">
        <f t="shared" si="10"/>
        <v>0</v>
      </c>
      <c r="O35" s="165">
        <f t="shared" si="10"/>
        <v>0</v>
      </c>
      <c r="P35" s="165">
        <f t="shared" si="10"/>
        <v>4</v>
      </c>
      <c r="Q35" s="165">
        <f t="shared" si="10"/>
        <v>10</v>
      </c>
      <c r="R35" s="165">
        <f t="shared" si="10"/>
        <v>9</v>
      </c>
      <c r="S35" s="165">
        <f t="shared" si="10"/>
        <v>2</v>
      </c>
      <c r="T35" s="165">
        <f t="shared" si="10"/>
        <v>4</v>
      </c>
      <c r="U35" s="165">
        <f t="shared" si="10"/>
        <v>20</v>
      </c>
      <c r="V35" s="165">
        <f t="shared" si="10"/>
        <v>5</v>
      </c>
      <c r="W35" s="165">
        <f t="shared" si="10"/>
        <v>1</v>
      </c>
      <c r="X35" s="165">
        <f t="shared" si="10"/>
        <v>2</v>
      </c>
      <c r="Y35" s="165">
        <f t="shared" si="10"/>
        <v>2</v>
      </c>
      <c r="Z35" s="165">
        <f t="shared" si="10"/>
        <v>4</v>
      </c>
      <c r="AA35" s="165">
        <f t="shared" si="10"/>
        <v>11</v>
      </c>
      <c r="AB35" s="165">
        <f t="shared" si="10"/>
        <v>8</v>
      </c>
      <c r="AC35" s="165">
        <f t="shared" si="10"/>
        <v>8</v>
      </c>
      <c r="AD35" s="165">
        <f t="shared" si="10"/>
        <v>31</v>
      </c>
      <c r="AE35" s="165">
        <f t="shared" si="10"/>
        <v>37</v>
      </c>
      <c r="AF35" s="165">
        <f t="shared" si="10"/>
        <v>6</v>
      </c>
      <c r="AG35" s="165">
        <f t="shared" si="10"/>
        <v>6</v>
      </c>
    </row>
    <row r="36" spans="1:33" ht="12.75" customHeight="1">
      <c r="A36" s="6" t="s">
        <v>50</v>
      </c>
      <c r="B36" s="10" t="s">
        <v>2</v>
      </c>
      <c r="C36" s="7" t="s">
        <v>31</v>
      </c>
      <c r="D36" s="320">
        <f t="shared" si="0"/>
        <v>190</v>
      </c>
      <c r="E36" s="166">
        <v>5</v>
      </c>
      <c r="F36" s="166">
        <v>10</v>
      </c>
      <c r="G36" s="166">
        <v>5</v>
      </c>
      <c r="H36" s="166">
        <v>5</v>
      </c>
      <c r="I36" s="321">
        <v>8</v>
      </c>
      <c r="J36" s="166">
        <v>29</v>
      </c>
      <c r="K36" s="321">
        <v>20</v>
      </c>
      <c r="L36" s="166"/>
      <c r="M36" s="166"/>
      <c r="N36" s="166"/>
      <c r="O36" s="166"/>
      <c r="P36" s="321">
        <v>1</v>
      </c>
      <c r="Q36" s="166">
        <v>7</v>
      </c>
      <c r="R36" s="166">
        <v>2</v>
      </c>
      <c r="S36" s="166">
        <v>1</v>
      </c>
      <c r="T36" s="166">
        <v>3</v>
      </c>
      <c r="U36" s="321">
        <v>17</v>
      </c>
      <c r="V36" s="549">
        <v>4</v>
      </c>
      <c r="W36" s="166"/>
      <c r="X36" s="166">
        <v>1</v>
      </c>
      <c r="Y36" s="166">
        <v>1</v>
      </c>
      <c r="Z36" s="166">
        <v>1</v>
      </c>
      <c r="AA36" s="166">
        <v>11</v>
      </c>
      <c r="AB36" s="166">
        <v>8</v>
      </c>
      <c r="AC36" s="321">
        <v>6</v>
      </c>
      <c r="AD36" s="321">
        <v>29</v>
      </c>
      <c r="AE36" s="166">
        <v>14</v>
      </c>
      <c r="AF36" s="166">
        <v>2</v>
      </c>
      <c r="AG36" s="166"/>
    </row>
    <row r="37" spans="1:33" ht="12.75" customHeight="1">
      <c r="A37" s="6" t="s">
        <v>51</v>
      </c>
      <c r="B37" s="10" t="s">
        <v>3</v>
      </c>
      <c r="C37" s="7" t="s">
        <v>31</v>
      </c>
      <c r="D37" s="320">
        <f t="shared" si="0"/>
        <v>64</v>
      </c>
      <c r="E37" s="166">
        <v>3</v>
      </c>
      <c r="F37" s="166">
        <v>1</v>
      </c>
      <c r="G37" s="166"/>
      <c r="H37" s="166">
        <v>3</v>
      </c>
      <c r="I37" s="321">
        <v>2</v>
      </c>
      <c r="J37" s="166">
        <v>1</v>
      </c>
      <c r="K37" s="321">
        <v>9</v>
      </c>
      <c r="L37" s="166"/>
      <c r="M37" s="166"/>
      <c r="N37" s="166"/>
      <c r="O37" s="166"/>
      <c r="P37" s="321">
        <v>2</v>
      </c>
      <c r="Q37" s="166">
        <v>3</v>
      </c>
      <c r="R37" s="166">
        <v>6</v>
      </c>
      <c r="S37" s="166">
        <v>1</v>
      </c>
      <c r="T37" s="166">
        <v>1</v>
      </c>
      <c r="U37" s="321">
        <v>3</v>
      </c>
      <c r="V37" s="549">
        <v>1</v>
      </c>
      <c r="W37" s="166">
        <v>1</v>
      </c>
      <c r="X37" s="166">
        <v>1</v>
      </c>
      <c r="Y37" s="166">
        <v>1</v>
      </c>
      <c r="Z37" s="166">
        <v>3</v>
      </c>
      <c r="AA37" s="166"/>
      <c r="AB37" s="166"/>
      <c r="AC37" s="321">
        <v>2</v>
      </c>
      <c r="AD37" s="321">
        <v>2</v>
      </c>
      <c r="AE37" s="166">
        <v>12</v>
      </c>
      <c r="AF37" s="166">
        <v>3</v>
      </c>
      <c r="AG37" s="166">
        <v>3</v>
      </c>
    </row>
    <row r="38" spans="1:33" ht="12.75" customHeight="1">
      <c r="A38" s="6" t="s">
        <v>56</v>
      </c>
      <c r="B38" s="10" t="s">
        <v>4</v>
      </c>
      <c r="C38" s="7" t="s">
        <v>32</v>
      </c>
      <c r="D38" s="320">
        <f t="shared" si="0"/>
        <v>43</v>
      </c>
      <c r="E38" s="166"/>
      <c r="F38" s="166"/>
      <c r="G38" s="166"/>
      <c r="H38" s="166"/>
      <c r="I38" s="166"/>
      <c r="J38" s="166">
        <v>26</v>
      </c>
      <c r="K38" s="166"/>
      <c r="L38" s="166"/>
      <c r="M38" s="166"/>
      <c r="N38" s="166"/>
      <c r="O38" s="166"/>
      <c r="P38" s="166">
        <v>1</v>
      </c>
      <c r="Q38" s="166"/>
      <c r="R38" s="166">
        <v>1</v>
      </c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>
        <v>11</v>
      </c>
      <c r="AF38" s="166">
        <v>1</v>
      </c>
      <c r="AG38" s="166">
        <v>3</v>
      </c>
    </row>
    <row r="39" spans="1:33" s="5" customFormat="1" ht="12.75" customHeight="1">
      <c r="A39" s="307">
        <v>2</v>
      </c>
      <c r="B39" s="9" t="s">
        <v>26</v>
      </c>
      <c r="C39" s="4"/>
      <c r="D39" s="319">
        <f t="shared" si="0"/>
        <v>291216</v>
      </c>
      <c r="E39" s="165"/>
      <c r="F39" s="165"/>
      <c r="G39" s="57">
        <f>G40+G45+G46</f>
        <v>57485</v>
      </c>
      <c r="H39" s="57">
        <f aca="true" t="shared" si="11" ref="H39:AG39">H40+H45+H46</f>
        <v>17756</v>
      </c>
      <c r="I39" s="57">
        <f t="shared" si="11"/>
        <v>52757</v>
      </c>
      <c r="J39" s="57">
        <f t="shared" si="11"/>
        <v>10160</v>
      </c>
      <c r="K39" s="57">
        <f t="shared" si="11"/>
        <v>77119</v>
      </c>
      <c r="L39" s="57">
        <f t="shared" si="11"/>
        <v>29</v>
      </c>
      <c r="M39" s="57">
        <f t="shared" si="11"/>
        <v>11171</v>
      </c>
      <c r="N39" s="57">
        <f t="shared" si="11"/>
        <v>0</v>
      </c>
      <c r="O39" s="57">
        <f t="shared" si="11"/>
        <v>0</v>
      </c>
      <c r="P39" s="57">
        <f t="shared" si="11"/>
        <v>1412</v>
      </c>
      <c r="Q39" s="57">
        <f t="shared" si="11"/>
        <v>874</v>
      </c>
      <c r="R39" s="57"/>
      <c r="S39" s="57">
        <f t="shared" si="11"/>
        <v>5</v>
      </c>
      <c r="T39" s="57">
        <f t="shared" si="11"/>
        <v>0</v>
      </c>
      <c r="U39" s="57">
        <f t="shared" si="11"/>
        <v>15923</v>
      </c>
      <c r="V39" s="57"/>
      <c r="W39" s="57">
        <f t="shared" si="11"/>
        <v>0</v>
      </c>
      <c r="X39" s="57">
        <f t="shared" si="11"/>
        <v>0</v>
      </c>
      <c r="Y39" s="57">
        <f t="shared" si="11"/>
        <v>12</v>
      </c>
      <c r="Z39" s="57">
        <f t="shared" si="11"/>
        <v>33</v>
      </c>
      <c r="AA39" s="57">
        <f t="shared" si="11"/>
        <v>7217</v>
      </c>
      <c r="AB39" s="57">
        <f t="shared" si="11"/>
        <v>5219</v>
      </c>
      <c r="AC39" s="57">
        <f>AC40+AC45+AC46</f>
        <v>1259</v>
      </c>
      <c r="AD39" s="57">
        <f t="shared" si="11"/>
        <v>3143</v>
      </c>
      <c r="AE39" s="57">
        <f t="shared" si="11"/>
        <v>16835</v>
      </c>
      <c r="AF39" s="57">
        <f t="shared" si="11"/>
        <v>21</v>
      </c>
      <c r="AG39" s="57">
        <f t="shared" si="11"/>
        <v>12786</v>
      </c>
    </row>
    <row r="40" spans="1:33" s="5" customFormat="1" ht="12.75" customHeight="1">
      <c r="A40" s="556" t="s">
        <v>21</v>
      </c>
      <c r="B40" s="9" t="s">
        <v>27</v>
      </c>
      <c r="C40" s="4"/>
      <c r="D40" s="319">
        <f t="shared" si="0"/>
        <v>80032</v>
      </c>
      <c r="E40" s="165"/>
      <c r="F40" s="165"/>
      <c r="G40" s="57">
        <f>G41+G44</f>
        <v>198</v>
      </c>
      <c r="H40" s="57">
        <f aca="true" t="shared" si="12" ref="H40:AG40">H41+H44</f>
        <v>17593</v>
      </c>
      <c r="I40" s="57">
        <f>I41+I44</f>
        <v>34981</v>
      </c>
      <c r="J40" s="57">
        <f>J41+J44</f>
        <v>10114</v>
      </c>
      <c r="K40" s="57">
        <f t="shared" si="12"/>
        <v>6</v>
      </c>
      <c r="L40" s="57">
        <f t="shared" si="12"/>
        <v>3</v>
      </c>
      <c r="M40" s="57">
        <f t="shared" si="12"/>
        <v>6042</v>
      </c>
      <c r="N40" s="57">
        <f t="shared" si="12"/>
        <v>0</v>
      </c>
      <c r="O40" s="57">
        <f t="shared" si="12"/>
        <v>0</v>
      </c>
      <c r="P40" s="57">
        <f t="shared" si="12"/>
        <v>1197</v>
      </c>
      <c r="Q40" s="57">
        <f t="shared" si="12"/>
        <v>4</v>
      </c>
      <c r="R40" s="57"/>
      <c r="S40" s="57">
        <f t="shared" si="12"/>
        <v>4</v>
      </c>
      <c r="T40" s="57">
        <f t="shared" si="12"/>
        <v>0</v>
      </c>
      <c r="U40" s="57">
        <f t="shared" si="12"/>
        <v>9</v>
      </c>
      <c r="V40" s="57"/>
      <c r="W40" s="57">
        <f t="shared" si="12"/>
        <v>0</v>
      </c>
      <c r="X40" s="57">
        <f t="shared" si="12"/>
        <v>0</v>
      </c>
      <c r="Y40" s="57">
        <f t="shared" si="12"/>
        <v>12</v>
      </c>
      <c r="Z40" s="57">
        <f t="shared" si="12"/>
        <v>10</v>
      </c>
      <c r="AA40" s="57">
        <f t="shared" si="12"/>
        <v>2168</v>
      </c>
      <c r="AB40" s="57">
        <f t="shared" si="12"/>
        <v>2007</v>
      </c>
      <c r="AC40" s="57">
        <f t="shared" si="12"/>
        <v>180</v>
      </c>
      <c r="AD40" s="57">
        <f t="shared" si="12"/>
        <v>44</v>
      </c>
      <c r="AE40" s="57">
        <f t="shared" si="12"/>
        <v>1889</v>
      </c>
      <c r="AF40" s="57">
        <f t="shared" si="12"/>
        <v>5</v>
      </c>
      <c r="AG40" s="57">
        <f t="shared" si="12"/>
        <v>3566</v>
      </c>
    </row>
    <row r="41" spans="1:33" s="60" customFormat="1" ht="12.75" customHeight="1">
      <c r="A41" s="70" t="s">
        <v>54</v>
      </c>
      <c r="B41" s="71" t="s">
        <v>57</v>
      </c>
      <c r="C41" s="277"/>
      <c r="D41" s="320">
        <f t="shared" si="0"/>
        <v>347</v>
      </c>
      <c r="E41" s="312">
        <f>SUM(E42:E43)</f>
        <v>1</v>
      </c>
      <c r="F41" s="312">
        <f aca="true" t="shared" si="13" ref="F41:AG41">SUM(F42:F43)</f>
        <v>35</v>
      </c>
      <c r="G41" s="312">
        <f t="shared" si="13"/>
        <v>9</v>
      </c>
      <c r="H41" s="312">
        <f t="shared" si="13"/>
        <v>8</v>
      </c>
      <c r="I41" s="312">
        <f t="shared" si="13"/>
        <v>10</v>
      </c>
      <c r="J41" s="312">
        <f t="shared" si="13"/>
        <v>11</v>
      </c>
      <c r="K41" s="312">
        <f t="shared" si="13"/>
        <v>6</v>
      </c>
      <c r="L41" s="312">
        <f t="shared" si="13"/>
        <v>3</v>
      </c>
      <c r="M41" s="312">
        <f t="shared" si="13"/>
        <v>1</v>
      </c>
      <c r="N41" s="312">
        <f t="shared" si="13"/>
        <v>0</v>
      </c>
      <c r="O41" s="312">
        <f t="shared" si="13"/>
        <v>0</v>
      </c>
      <c r="P41" s="312">
        <f t="shared" si="13"/>
        <v>3</v>
      </c>
      <c r="Q41" s="312">
        <f t="shared" si="13"/>
        <v>4</v>
      </c>
      <c r="R41" s="312">
        <f t="shared" si="13"/>
        <v>0</v>
      </c>
      <c r="S41" s="312">
        <f t="shared" si="13"/>
        <v>4</v>
      </c>
      <c r="T41" s="312">
        <f t="shared" si="13"/>
        <v>0</v>
      </c>
      <c r="U41" s="312">
        <f t="shared" si="13"/>
        <v>9</v>
      </c>
      <c r="V41" s="312"/>
      <c r="W41" s="312">
        <f t="shared" si="13"/>
        <v>0</v>
      </c>
      <c r="X41" s="312">
        <f t="shared" si="13"/>
        <v>0</v>
      </c>
      <c r="Y41" s="312">
        <f t="shared" si="13"/>
        <v>12</v>
      </c>
      <c r="Z41" s="312">
        <f t="shared" si="13"/>
        <v>10</v>
      </c>
      <c r="AA41" s="312">
        <f t="shared" si="13"/>
        <v>19</v>
      </c>
      <c r="AB41" s="312">
        <f t="shared" si="13"/>
        <v>22</v>
      </c>
      <c r="AC41" s="312">
        <f t="shared" si="13"/>
        <v>68</v>
      </c>
      <c r="AD41" s="312">
        <f t="shared" si="13"/>
        <v>37</v>
      </c>
      <c r="AE41" s="312">
        <f t="shared" si="13"/>
        <v>60</v>
      </c>
      <c r="AF41" s="312">
        <f t="shared" si="13"/>
        <v>5</v>
      </c>
      <c r="AG41" s="312">
        <f t="shared" si="13"/>
        <v>10</v>
      </c>
    </row>
    <row r="42" spans="1:33" s="60" customFormat="1" ht="12.75" customHeight="1">
      <c r="A42" s="70"/>
      <c r="B42" s="317" t="s">
        <v>33</v>
      </c>
      <c r="C42" s="277" t="s">
        <v>28</v>
      </c>
      <c r="D42" s="320">
        <f t="shared" si="0"/>
        <v>260</v>
      </c>
      <c r="E42" s="312">
        <v>1</v>
      </c>
      <c r="F42" s="312">
        <v>34</v>
      </c>
      <c r="G42" s="312"/>
      <c r="H42" s="312">
        <v>6</v>
      </c>
      <c r="I42" s="312">
        <v>4</v>
      </c>
      <c r="J42" s="312">
        <v>11</v>
      </c>
      <c r="K42" s="312">
        <v>6</v>
      </c>
      <c r="L42" s="312">
        <v>3</v>
      </c>
      <c r="M42" s="312">
        <v>1</v>
      </c>
      <c r="N42" s="312"/>
      <c r="O42" s="312"/>
      <c r="P42" s="312">
        <v>3</v>
      </c>
      <c r="Q42" s="312">
        <v>4</v>
      </c>
      <c r="R42" s="312"/>
      <c r="S42" s="312">
        <v>3</v>
      </c>
      <c r="T42" s="312"/>
      <c r="U42" s="312">
        <v>9</v>
      </c>
      <c r="V42" s="312"/>
      <c r="W42" s="312"/>
      <c r="X42" s="312"/>
      <c r="Y42" s="312">
        <v>12</v>
      </c>
      <c r="Z42" s="312">
        <v>10</v>
      </c>
      <c r="AA42" s="312">
        <v>17</v>
      </c>
      <c r="AB42" s="312">
        <v>15</v>
      </c>
      <c r="AC42" s="312">
        <v>40</v>
      </c>
      <c r="AD42" s="312">
        <v>37</v>
      </c>
      <c r="AE42" s="312">
        <v>29</v>
      </c>
      <c r="AF42" s="312">
        <v>5</v>
      </c>
      <c r="AG42" s="312">
        <v>10</v>
      </c>
    </row>
    <row r="43" spans="1:33" s="60" customFormat="1" ht="12.75" customHeight="1">
      <c r="A43" s="70"/>
      <c r="B43" s="317" t="s">
        <v>34</v>
      </c>
      <c r="C43" s="277" t="s">
        <v>28</v>
      </c>
      <c r="D43" s="320">
        <f t="shared" si="0"/>
        <v>87</v>
      </c>
      <c r="E43" s="312"/>
      <c r="F43" s="312">
        <v>1</v>
      </c>
      <c r="G43" s="312">
        <v>9</v>
      </c>
      <c r="H43" s="312">
        <v>2</v>
      </c>
      <c r="I43" s="312">
        <v>6</v>
      </c>
      <c r="J43" s="312"/>
      <c r="K43" s="312"/>
      <c r="L43" s="312"/>
      <c r="M43" s="312"/>
      <c r="N43" s="312"/>
      <c r="O43" s="312"/>
      <c r="P43" s="312"/>
      <c r="Q43" s="312"/>
      <c r="R43" s="312"/>
      <c r="S43" s="312">
        <v>1</v>
      </c>
      <c r="T43" s="312"/>
      <c r="U43" s="312"/>
      <c r="V43" s="312"/>
      <c r="W43" s="312"/>
      <c r="X43" s="312"/>
      <c r="Y43" s="312"/>
      <c r="Z43" s="312"/>
      <c r="AA43" s="312">
        <v>2</v>
      </c>
      <c r="AB43" s="312">
        <v>7</v>
      </c>
      <c r="AC43" s="312">
        <v>28</v>
      </c>
      <c r="AD43" s="312"/>
      <c r="AE43" s="312">
        <v>31</v>
      </c>
      <c r="AF43" s="312"/>
      <c r="AG43" s="312"/>
    </row>
    <row r="44" spans="1:33" s="60" customFormat="1" ht="12.75" customHeight="1">
      <c r="A44" s="70" t="s">
        <v>55</v>
      </c>
      <c r="B44" s="71" t="s">
        <v>151</v>
      </c>
      <c r="C44" s="7" t="s">
        <v>152</v>
      </c>
      <c r="D44" s="320">
        <f t="shared" si="0"/>
        <v>118019</v>
      </c>
      <c r="E44" s="312">
        <v>847</v>
      </c>
      <c r="F44" s="312">
        <v>37451</v>
      </c>
      <c r="G44" s="312">
        <v>189</v>
      </c>
      <c r="H44" s="312">
        <v>17585</v>
      </c>
      <c r="I44" s="312">
        <v>34971</v>
      </c>
      <c r="J44" s="312">
        <v>10103</v>
      </c>
      <c r="K44" s="312"/>
      <c r="L44" s="312"/>
      <c r="M44" s="312">
        <f>5104+637+300</f>
        <v>6041</v>
      </c>
      <c r="N44" s="312"/>
      <c r="O44" s="312"/>
      <c r="P44" s="312">
        <v>1194</v>
      </c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>
        <v>2149</v>
      </c>
      <c r="AB44" s="312">
        <v>1985</v>
      </c>
      <c r="AC44" s="312">
        <v>112</v>
      </c>
      <c r="AD44" s="312">
        <v>7</v>
      </c>
      <c r="AE44" s="312">
        <v>1829</v>
      </c>
      <c r="AF44" s="312"/>
      <c r="AG44" s="312">
        <v>3556</v>
      </c>
    </row>
    <row r="45" spans="1:33" s="5" customFormat="1" ht="12.75" customHeight="1">
      <c r="A45" s="307" t="s">
        <v>22</v>
      </c>
      <c r="B45" s="74" t="s">
        <v>37</v>
      </c>
      <c r="C45" s="4" t="s">
        <v>28</v>
      </c>
      <c r="D45" s="319">
        <f t="shared" si="0"/>
        <v>256</v>
      </c>
      <c r="E45" s="313"/>
      <c r="F45" s="165">
        <v>1</v>
      </c>
      <c r="G45" s="165">
        <v>10</v>
      </c>
      <c r="H45" s="165"/>
      <c r="I45" s="165">
        <v>7</v>
      </c>
      <c r="J45" s="165">
        <v>46</v>
      </c>
      <c r="K45" s="165">
        <v>11</v>
      </c>
      <c r="L45" s="165">
        <v>26</v>
      </c>
      <c r="M45" s="313">
        <v>25</v>
      </c>
      <c r="N45" s="165"/>
      <c r="O45" s="165"/>
      <c r="P45" s="165">
        <v>2</v>
      </c>
      <c r="Q45" s="165"/>
      <c r="R45" s="165"/>
      <c r="S45" s="165">
        <v>1</v>
      </c>
      <c r="T45" s="165"/>
      <c r="U45" s="165">
        <v>3</v>
      </c>
      <c r="V45" s="165"/>
      <c r="W45" s="165"/>
      <c r="X45" s="165"/>
      <c r="Y45" s="165"/>
      <c r="Z45" s="165"/>
      <c r="AA45" s="165"/>
      <c r="AB45" s="165">
        <v>7</v>
      </c>
      <c r="AC45" s="165">
        <v>27</v>
      </c>
      <c r="AD45" s="165">
        <v>90</v>
      </c>
      <c r="AE45" s="165"/>
      <c r="AF45" s="165"/>
      <c r="AG45" s="165"/>
    </row>
    <row r="46" spans="1:33" s="5" customFormat="1" ht="12.75" customHeight="1">
      <c r="A46" s="307" t="s">
        <v>23</v>
      </c>
      <c r="B46" s="9" t="s">
        <v>268</v>
      </c>
      <c r="C46" s="4" t="s">
        <v>153</v>
      </c>
      <c r="D46" s="319">
        <f t="shared" si="0"/>
        <v>236425</v>
      </c>
      <c r="E46" s="313">
        <f>E47+E48</f>
        <v>25496</v>
      </c>
      <c r="F46" s="165"/>
      <c r="G46" s="165">
        <v>57277</v>
      </c>
      <c r="H46" s="165">
        <v>163</v>
      </c>
      <c r="I46" s="165">
        <v>17769</v>
      </c>
      <c r="J46" s="165"/>
      <c r="K46" s="165">
        <v>77102</v>
      </c>
      <c r="L46" s="165"/>
      <c r="M46" s="313">
        <f>M47+M48</f>
        <v>5104</v>
      </c>
      <c r="N46" s="165"/>
      <c r="O46" s="165"/>
      <c r="P46" s="165">
        <v>213</v>
      </c>
      <c r="Q46" s="165">
        <v>870</v>
      </c>
      <c r="R46" s="165"/>
      <c r="S46" s="165"/>
      <c r="T46" s="165"/>
      <c r="U46" s="165">
        <f>U47+U48</f>
        <v>15911</v>
      </c>
      <c r="V46" s="165"/>
      <c r="W46" s="165"/>
      <c r="X46" s="165"/>
      <c r="Y46" s="165"/>
      <c r="Z46" s="165">
        <v>23</v>
      </c>
      <c r="AA46" s="165">
        <f>AA47+AA48</f>
        <v>5049</v>
      </c>
      <c r="AB46" s="165">
        <f>AB47+AB48</f>
        <v>3205</v>
      </c>
      <c r="AC46" s="165">
        <f>AC47+AC48</f>
        <v>1052</v>
      </c>
      <c r="AD46" s="165">
        <f>AD47+AD48</f>
        <v>3009</v>
      </c>
      <c r="AE46" s="165">
        <f>AE47+AE48</f>
        <v>14946</v>
      </c>
      <c r="AF46" s="165">
        <v>16</v>
      </c>
      <c r="AG46" s="165">
        <f>AG47+AG48</f>
        <v>9220</v>
      </c>
    </row>
    <row r="47" spans="1:33" s="60" customFormat="1" ht="12.75" customHeight="1">
      <c r="A47" s="70" t="s">
        <v>58</v>
      </c>
      <c r="B47" s="71" t="s">
        <v>29</v>
      </c>
      <c r="C47" s="7" t="s">
        <v>153</v>
      </c>
      <c r="D47" s="320">
        <f t="shared" si="0"/>
        <v>17118</v>
      </c>
      <c r="E47" s="312">
        <v>157</v>
      </c>
      <c r="F47" s="312"/>
      <c r="G47" s="312">
        <v>1402</v>
      </c>
      <c r="H47" s="312"/>
      <c r="I47" s="312"/>
      <c r="J47" s="312"/>
      <c r="K47" s="312">
        <v>386</v>
      </c>
      <c r="L47" s="312"/>
      <c r="M47" s="312"/>
      <c r="N47" s="312"/>
      <c r="O47" s="312"/>
      <c r="P47" s="312"/>
      <c r="Q47" s="312"/>
      <c r="R47" s="312"/>
      <c r="S47" s="312"/>
      <c r="T47" s="312"/>
      <c r="U47" s="312">
        <v>1271</v>
      </c>
      <c r="V47" s="312"/>
      <c r="W47" s="312"/>
      <c r="X47" s="312"/>
      <c r="Y47" s="312"/>
      <c r="Z47" s="312"/>
      <c r="AA47" s="312"/>
      <c r="AB47" s="312">
        <v>828</v>
      </c>
      <c r="AC47" s="312">
        <v>384</v>
      </c>
      <c r="AD47" s="312">
        <v>706</v>
      </c>
      <c r="AE47" s="312">
        <v>3286</v>
      </c>
      <c r="AF47" s="312"/>
      <c r="AG47" s="312">
        <v>8698</v>
      </c>
    </row>
    <row r="48" spans="1:33" s="60" customFormat="1" ht="12.75" customHeight="1">
      <c r="A48" s="70" t="s">
        <v>59</v>
      </c>
      <c r="B48" s="71" t="s">
        <v>30</v>
      </c>
      <c r="C48" s="7" t="s">
        <v>152</v>
      </c>
      <c r="D48" s="320">
        <f t="shared" si="0"/>
        <v>201336</v>
      </c>
      <c r="E48" s="312">
        <v>25339</v>
      </c>
      <c r="F48" s="312"/>
      <c r="G48" s="312">
        <v>55875</v>
      </c>
      <c r="H48" s="312"/>
      <c r="I48" s="312"/>
      <c r="J48" s="312"/>
      <c r="K48" s="312">
        <v>76716</v>
      </c>
      <c r="L48" s="312"/>
      <c r="M48" s="312">
        <v>5104</v>
      </c>
      <c r="N48" s="312"/>
      <c r="O48" s="312"/>
      <c r="P48" s="312">
        <v>213</v>
      </c>
      <c r="Q48" s="312">
        <v>870</v>
      </c>
      <c r="R48" s="312"/>
      <c r="S48" s="312"/>
      <c r="T48" s="312"/>
      <c r="U48" s="312">
        <v>14640</v>
      </c>
      <c r="V48" s="312"/>
      <c r="W48" s="312"/>
      <c r="X48" s="312"/>
      <c r="Y48" s="312"/>
      <c r="Z48" s="312"/>
      <c r="AA48" s="312">
        <v>5049</v>
      </c>
      <c r="AB48" s="312">
        <v>2377</v>
      </c>
      <c r="AC48" s="312">
        <v>668</v>
      </c>
      <c r="AD48" s="312">
        <v>2303</v>
      </c>
      <c r="AE48" s="312">
        <v>11660</v>
      </c>
      <c r="AF48" s="312"/>
      <c r="AG48" s="312">
        <v>522</v>
      </c>
    </row>
    <row r="49" spans="5:33" ht="12.75">
      <c r="E49" s="304"/>
      <c r="F49" s="315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</row>
    <row r="50" spans="5:33" ht="12.75">
      <c r="E50" s="304"/>
      <c r="F50" s="315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</row>
    <row r="51" spans="5:33" ht="12.75">
      <c r="E51" s="304"/>
      <c r="F51" s="315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</row>
    <row r="52" spans="5:33" ht="12.75">
      <c r="E52" s="304"/>
      <c r="F52" s="315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</row>
    <row r="53" spans="5:33" ht="12.75">
      <c r="E53" s="304"/>
      <c r="F53" s="315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</row>
    <row r="54" spans="5:33" ht="12.75">
      <c r="E54" s="304"/>
      <c r="F54" s="315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</row>
    <row r="55" spans="5:33" ht="12.75">
      <c r="E55" s="304"/>
      <c r="F55" s="315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</row>
    <row r="56" spans="5:33" ht="12.75">
      <c r="E56" s="304"/>
      <c r="F56" s="315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</row>
    <row r="66" ht="12.75"/>
    <row r="67" ht="12.75"/>
    <row r="68" ht="12.75"/>
    <row r="69" ht="12.75"/>
  </sheetData>
  <sheetProtection/>
  <mergeCells count="13">
    <mergeCell ref="A34:C34"/>
    <mergeCell ref="A2:A3"/>
    <mergeCell ref="B2:B3"/>
    <mergeCell ref="C2:C3"/>
    <mergeCell ref="E2:H2"/>
    <mergeCell ref="D2:D3"/>
    <mergeCell ref="U2:Z2"/>
    <mergeCell ref="AA2:AE2"/>
    <mergeCell ref="AF2:AG2"/>
    <mergeCell ref="A4:C4"/>
    <mergeCell ref="A19:C19"/>
    <mergeCell ref="I2:O2"/>
    <mergeCell ref="P2:T2"/>
  </mergeCells>
  <printOptions horizontalCentered="1"/>
  <pageMargins left="0.2" right="0.2" top="0.75" bottom="0.25" header="0.3" footer="0.3"/>
  <pageSetup horizontalDpi="600" verticalDpi="600" orientation="landscape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140625" defaultRowHeight="15"/>
  <cols>
    <col min="1" max="1" width="7.28125" style="2" customWidth="1"/>
    <col min="2" max="2" width="36.7109375" style="2" customWidth="1"/>
    <col min="3" max="3" width="12.57421875" style="2" customWidth="1"/>
    <col min="4" max="4" width="13.57421875" style="2" customWidth="1"/>
    <col min="5" max="5" width="13.00390625" style="2" customWidth="1"/>
    <col min="6" max="6" width="13.57421875" style="2" customWidth="1"/>
    <col min="7" max="16384" width="9.140625" style="2" customWidth="1"/>
  </cols>
  <sheetData>
    <row r="2" spans="1:6" s="5" customFormat="1" ht="18" customHeight="1">
      <c r="A2" s="895" t="s">
        <v>0</v>
      </c>
      <c r="B2" s="895" t="s">
        <v>1</v>
      </c>
      <c r="C2" s="893" t="s">
        <v>24</v>
      </c>
      <c r="D2" s="893" t="s">
        <v>6</v>
      </c>
      <c r="E2" s="893" t="s">
        <v>7</v>
      </c>
      <c r="F2" s="893" t="s">
        <v>8</v>
      </c>
    </row>
    <row r="3" spans="1:6" s="5" customFormat="1" ht="25.5" customHeight="1">
      <c r="A3" s="896"/>
      <c r="B3" s="896"/>
      <c r="C3" s="894"/>
      <c r="D3" s="894"/>
      <c r="E3" s="894"/>
      <c r="F3" s="894"/>
    </row>
    <row r="4" spans="1:6" s="5" customFormat="1" ht="29.25" customHeight="1">
      <c r="A4" s="584">
        <v>1</v>
      </c>
      <c r="B4" s="4" t="s">
        <v>15</v>
      </c>
      <c r="C4" s="4" t="s">
        <v>16</v>
      </c>
      <c r="D4" s="625">
        <v>11136877</v>
      </c>
      <c r="E4" s="625">
        <v>11426827</v>
      </c>
      <c r="F4" s="625">
        <v>11454476</v>
      </c>
    </row>
    <row r="5" spans="1:6" s="5" customFormat="1" ht="29.25" customHeight="1">
      <c r="A5" s="584">
        <v>2</v>
      </c>
      <c r="B5" s="4" t="s">
        <v>53</v>
      </c>
      <c r="C5" s="4" t="s">
        <v>16</v>
      </c>
      <c r="D5" s="625">
        <v>2444385.7</v>
      </c>
      <c r="E5" s="625">
        <v>3749486.06</v>
      </c>
      <c r="F5" s="625">
        <v>4758720.01</v>
      </c>
    </row>
    <row r="6" spans="1:6" ht="29.25" customHeight="1">
      <c r="A6" s="6" t="s">
        <v>21</v>
      </c>
      <c r="B6" s="10" t="s">
        <v>17</v>
      </c>
      <c r="C6" s="7" t="s">
        <v>16</v>
      </c>
      <c r="D6" s="13">
        <v>1242705.3</v>
      </c>
      <c r="E6" s="13">
        <v>1656439.58</v>
      </c>
      <c r="F6" s="13">
        <v>2423175.9800000004</v>
      </c>
    </row>
    <row r="7" spans="1:6" s="60" customFormat="1" ht="29.25" customHeight="1">
      <c r="A7" s="70"/>
      <c r="B7" s="71" t="s">
        <v>18</v>
      </c>
      <c r="C7" s="277" t="s">
        <v>16</v>
      </c>
      <c r="D7" s="626">
        <v>524317.4</v>
      </c>
      <c r="E7" s="626">
        <v>633191.1799999999</v>
      </c>
      <c r="F7" s="626">
        <v>1183046.08</v>
      </c>
    </row>
    <row r="8" spans="1:6" s="60" customFormat="1" ht="29.25" customHeight="1">
      <c r="A8" s="70"/>
      <c r="B8" s="71" t="s">
        <v>19</v>
      </c>
      <c r="C8" s="277" t="s">
        <v>16</v>
      </c>
      <c r="D8" s="626">
        <v>450022.9</v>
      </c>
      <c r="E8" s="626">
        <v>739971.4</v>
      </c>
      <c r="F8" s="626">
        <v>1166457.9</v>
      </c>
    </row>
    <row r="9" spans="1:6" ht="29.25" customHeight="1">
      <c r="A9" s="6" t="s">
        <v>22</v>
      </c>
      <c r="B9" s="10" t="s">
        <v>150</v>
      </c>
      <c r="C9" s="7" t="s">
        <v>16</v>
      </c>
      <c r="D9" s="13">
        <v>762388.3</v>
      </c>
      <c r="E9" s="13">
        <v>897293.7200000001</v>
      </c>
      <c r="F9" s="13">
        <v>953515.38</v>
      </c>
    </row>
    <row r="10" spans="1:6" ht="29.25" customHeight="1">
      <c r="A10" s="6" t="s">
        <v>23</v>
      </c>
      <c r="B10" s="12" t="s">
        <v>20</v>
      </c>
      <c r="C10" s="7" t="s">
        <v>16</v>
      </c>
      <c r="D10" s="13">
        <v>439293.1</v>
      </c>
      <c r="E10" s="13">
        <v>929492.7599999999</v>
      </c>
      <c r="F10" s="13">
        <v>972009.65</v>
      </c>
    </row>
    <row r="11" spans="1:6" s="60" customFormat="1" ht="29.25" customHeight="1">
      <c r="A11" s="70"/>
      <c r="B11" s="71" t="s">
        <v>18</v>
      </c>
      <c r="C11" s="277" t="s">
        <v>16</v>
      </c>
      <c r="D11" s="626">
        <v>151633.6</v>
      </c>
      <c r="E11" s="626">
        <v>151633.6</v>
      </c>
      <c r="F11" s="626">
        <v>176050.6</v>
      </c>
    </row>
    <row r="12" spans="1:6" s="60" customFormat="1" ht="29.25" customHeight="1">
      <c r="A12" s="70"/>
      <c r="B12" s="71" t="s">
        <v>19</v>
      </c>
      <c r="C12" s="277" t="s">
        <v>16</v>
      </c>
      <c r="D12" s="626">
        <v>236202</v>
      </c>
      <c r="E12" s="626">
        <v>660049.6599999999</v>
      </c>
      <c r="F12" s="626">
        <v>661662.55</v>
      </c>
    </row>
    <row r="13" spans="1:6" s="5" customFormat="1" ht="29.25" customHeight="1">
      <c r="A13" s="584">
        <v>3</v>
      </c>
      <c r="B13" s="73" t="s">
        <v>49</v>
      </c>
      <c r="C13" s="4" t="s">
        <v>47</v>
      </c>
      <c r="D13" s="625">
        <v>23</v>
      </c>
      <c r="E13" s="625">
        <v>162</v>
      </c>
      <c r="F13" s="625">
        <v>87</v>
      </c>
    </row>
    <row r="14" spans="1:6" s="5" customFormat="1" ht="29.25" customHeight="1">
      <c r="A14" s="584">
        <v>4</v>
      </c>
      <c r="B14" s="73" t="s">
        <v>48</v>
      </c>
      <c r="C14" s="4" t="s">
        <v>47</v>
      </c>
      <c r="D14" s="625">
        <v>7013</v>
      </c>
      <c r="E14" s="625">
        <v>9030</v>
      </c>
      <c r="F14" s="625">
        <v>7104</v>
      </c>
    </row>
  </sheetData>
  <sheetProtection/>
  <mergeCells count="6">
    <mergeCell ref="D2:D3"/>
    <mergeCell ref="E2:E3"/>
    <mergeCell ref="F2:F3"/>
    <mergeCell ref="A2:A3"/>
    <mergeCell ref="B2:B3"/>
    <mergeCell ref="C2:C3"/>
  </mergeCells>
  <printOptions horizontalCentered="1"/>
  <pageMargins left="0.2" right="0.2" top="0.75" bottom="0.25" header="0.3" footer="0.3"/>
  <pageSetup horizontalDpi="600" verticalDpi="600" orientation="landscape" r:id="rId1"/>
  <headerFooter>
    <oddHeader>&amp;C&amp;"Time new roman,Bold"&amp;10Phụ biểu 13. Tổng hợp diện tích có cung ứng DVMTR trên toàn quốc qua các năm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7" sqref="J17"/>
    </sheetView>
  </sheetViews>
  <sheetFormatPr defaultColWidth="9.140625" defaultRowHeight="15"/>
  <cols>
    <col min="1" max="1" width="5.7109375" style="2" customWidth="1"/>
    <col min="2" max="2" width="39.00390625" style="2" customWidth="1"/>
    <col min="3" max="7" width="12.7109375" style="2" customWidth="1"/>
    <col min="8" max="16384" width="9.140625" style="2" customWidth="1"/>
  </cols>
  <sheetData>
    <row r="2" spans="1:7" s="5" customFormat="1" ht="15.75" customHeight="1">
      <c r="A2" s="895" t="s">
        <v>0</v>
      </c>
      <c r="B2" s="895" t="s">
        <v>1</v>
      </c>
      <c r="C2" s="893" t="s">
        <v>24</v>
      </c>
      <c r="D2" s="893" t="s">
        <v>6</v>
      </c>
      <c r="E2" s="893" t="s">
        <v>7</v>
      </c>
      <c r="F2" s="893" t="s">
        <v>8</v>
      </c>
      <c r="G2" s="893" t="s">
        <v>212</v>
      </c>
    </row>
    <row r="3" spans="1:7" s="5" customFormat="1" ht="27" customHeight="1">
      <c r="A3" s="896"/>
      <c r="B3" s="896"/>
      <c r="C3" s="894"/>
      <c r="D3" s="894"/>
      <c r="E3" s="894"/>
      <c r="F3" s="894"/>
      <c r="G3" s="894"/>
    </row>
    <row r="4" spans="1:14" s="5" customFormat="1" ht="25.5" customHeight="1">
      <c r="A4" s="584">
        <v>1</v>
      </c>
      <c r="B4" s="9" t="s">
        <v>25</v>
      </c>
      <c r="C4" s="4"/>
      <c r="D4" s="642">
        <f>D5+D6+D7</f>
        <v>76</v>
      </c>
      <c r="E4" s="642">
        <f>E5+E6+E7</f>
        <v>174</v>
      </c>
      <c r="F4" s="642">
        <f>F5+F6+F7</f>
        <v>297</v>
      </c>
      <c r="G4" s="643">
        <f>D4+E4+F4</f>
        <v>547</v>
      </c>
      <c r="L4" s="2"/>
      <c r="N4" s="2"/>
    </row>
    <row r="5" spans="1:14" s="5" customFormat="1" ht="25.5" customHeight="1">
      <c r="A5" s="627" t="s">
        <v>50</v>
      </c>
      <c r="B5" s="628" t="s">
        <v>2</v>
      </c>
      <c r="C5" s="629" t="s">
        <v>31</v>
      </c>
      <c r="D5" s="644">
        <v>49</v>
      </c>
      <c r="E5" s="644">
        <v>124</v>
      </c>
      <c r="F5" s="644">
        <v>190</v>
      </c>
      <c r="G5" s="645">
        <f aca="true" t="shared" si="0" ref="G5:G17">D5+E5+F5</f>
        <v>363</v>
      </c>
      <c r="L5" s="2"/>
      <c r="N5" s="2"/>
    </row>
    <row r="6" spans="1:14" s="5" customFormat="1" ht="25.5" customHeight="1">
      <c r="A6" s="630" t="s">
        <v>51</v>
      </c>
      <c r="B6" s="631" t="s">
        <v>3</v>
      </c>
      <c r="C6" s="632" t="s">
        <v>31</v>
      </c>
      <c r="D6" s="646">
        <v>16</v>
      </c>
      <c r="E6" s="646">
        <v>24</v>
      </c>
      <c r="F6" s="646">
        <v>64</v>
      </c>
      <c r="G6" s="647">
        <f t="shared" si="0"/>
        <v>104</v>
      </c>
      <c r="L6" s="2"/>
      <c r="N6" s="2"/>
    </row>
    <row r="7" spans="1:14" s="5" customFormat="1" ht="25.5" customHeight="1">
      <c r="A7" s="633" t="s">
        <v>56</v>
      </c>
      <c r="B7" s="634" t="s">
        <v>4</v>
      </c>
      <c r="C7" s="635" t="s">
        <v>32</v>
      </c>
      <c r="D7" s="648">
        <v>11</v>
      </c>
      <c r="E7" s="648">
        <v>26</v>
      </c>
      <c r="F7" s="648">
        <v>43</v>
      </c>
      <c r="G7" s="649">
        <f t="shared" si="0"/>
        <v>80</v>
      </c>
      <c r="L7" s="2"/>
      <c r="N7" s="2"/>
    </row>
    <row r="8" spans="1:14" s="5" customFormat="1" ht="25.5" customHeight="1">
      <c r="A8" s="584">
        <v>2</v>
      </c>
      <c r="B8" s="9" t="s">
        <v>26</v>
      </c>
      <c r="C8" s="4"/>
      <c r="D8" s="642">
        <f>D9+D14+D15</f>
        <v>177858</v>
      </c>
      <c r="E8" s="642">
        <f>E9+E14+E15</f>
        <v>287993</v>
      </c>
      <c r="F8" s="642">
        <f>F9+F14+F15</f>
        <v>355047</v>
      </c>
      <c r="G8" s="642">
        <f>G9+G14+G15</f>
        <v>820898</v>
      </c>
      <c r="L8" s="2"/>
      <c r="N8" s="2"/>
    </row>
    <row r="9" spans="1:14" s="5" customFormat="1" ht="25.5" customHeight="1">
      <c r="A9" s="584" t="s">
        <v>21</v>
      </c>
      <c r="B9" s="9" t="s">
        <v>27</v>
      </c>
      <c r="C9" s="4"/>
      <c r="D9" s="642">
        <f>D10+D13</f>
        <v>64164</v>
      </c>
      <c r="E9" s="642">
        <f>E10+E13</f>
        <v>97050</v>
      </c>
      <c r="F9" s="642">
        <f>F10+F13</f>
        <v>118366</v>
      </c>
      <c r="G9" s="642">
        <f>G10+G13</f>
        <v>279580</v>
      </c>
      <c r="L9" s="2"/>
      <c r="N9" s="2"/>
    </row>
    <row r="10" spans="1:7" ht="25.5" customHeight="1">
      <c r="A10" s="6" t="s">
        <v>54</v>
      </c>
      <c r="B10" s="10" t="s">
        <v>57</v>
      </c>
      <c r="C10" s="7"/>
      <c r="D10" s="650">
        <f>D11+D12</f>
        <v>179</v>
      </c>
      <c r="E10" s="650">
        <f>E11+E12</f>
        <v>262</v>
      </c>
      <c r="F10" s="650">
        <f>F11+F12</f>
        <v>347</v>
      </c>
      <c r="G10" s="650">
        <f>G11+G12</f>
        <v>788</v>
      </c>
    </row>
    <row r="11" spans="1:14" s="60" customFormat="1" ht="25.5" customHeight="1">
      <c r="A11" s="636"/>
      <c r="B11" s="637" t="s">
        <v>33</v>
      </c>
      <c r="C11" s="638" t="s">
        <v>28</v>
      </c>
      <c r="D11" s="651">
        <v>135</v>
      </c>
      <c r="E11" s="644">
        <v>184</v>
      </c>
      <c r="F11" s="644">
        <v>260</v>
      </c>
      <c r="G11" s="644">
        <f t="shared" si="0"/>
        <v>579</v>
      </c>
      <c r="L11" s="2"/>
      <c r="N11" s="2"/>
    </row>
    <row r="12" spans="1:14" s="60" customFormat="1" ht="25.5" customHeight="1">
      <c r="A12" s="639"/>
      <c r="B12" s="640" t="s">
        <v>34</v>
      </c>
      <c r="C12" s="641" t="s">
        <v>28</v>
      </c>
      <c r="D12" s="652">
        <v>44</v>
      </c>
      <c r="E12" s="648">
        <v>78</v>
      </c>
      <c r="F12" s="648">
        <v>87</v>
      </c>
      <c r="G12" s="648">
        <f t="shared" si="0"/>
        <v>209</v>
      </c>
      <c r="L12" s="2"/>
      <c r="N12" s="2"/>
    </row>
    <row r="13" spans="1:7" ht="25.5" customHeight="1">
      <c r="A13" s="6" t="s">
        <v>55</v>
      </c>
      <c r="B13" s="10" t="s">
        <v>151</v>
      </c>
      <c r="C13" s="7" t="s">
        <v>152</v>
      </c>
      <c r="D13" s="650">
        <v>63985</v>
      </c>
      <c r="E13" s="650">
        <v>96788</v>
      </c>
      <c r="F13" s="650">
        <v>118019</v>
      </c>
      <c r="G13" s="650">
        <f t="shared" si="0"/>
        <v>278792</v>
      </c>
    </row>
    <row r="14" spans="1:14" s="318" customFormat="1" ht="32.25" customHeight="1">
      <c r="A14" s="584" t="s">
        <v>22</v>
      </c>
      <c r="B14" s="74" t="s">
        <v>37</v>
      </c>
      <c r="C14" s="4" t="s">
        <v>28</v>
      </c>
      <c r="D14" s="642">
        <v>169</v>
      </c>
      <c r="E14" s="642">
        <v>233</v>
      </c>
      <c r="F14" s="642">
        <v>256</v>
      </c>
      <c r="G14" s="642">
        <f t="shared" si="0"/>
        <v>658</v>
      </c>
      <c r="L14" s="2"/>
      <c r="N14" s="2"/>
    </row>
    <row r="15" spans="1:15" s="318" customFormat="1" ht="25.5" customHeight="1">
      <c r="A15" s="584" t="s">
        <v>23</v>
      </c>
      <c r="B15" s="9" t="s">
        <v>36</v>
      </c>
      <c r="C15" s="4" t="s">
        <v>153</v>
      </c>
      <c r="D15" s="642">
        <f>D16+D17</f>
        <v>113525</v>
      </c>
      <c r="E15" s="642">
        <f>E16+E17</f>
        <v>190710</v>
      </c>
      <c r="F15" s="642">
        <f>F16+F17</f>
        <v>236425</v>
      </c>
      <c r="G15" s="642">
        <f>G16+G17</f>
        <v>540660</v>
      </c>
      <c r="H15" s="653"/>
      <c r="K15" s="653"/>
      <c r="L15" s="2"/>
      <c r="M15" s="653"/>
      <c r="N15" s="2"/>
      <c r="O15" s="653"/>
    </row>
    <row r="16" spans="1:7" ht="25.5" customHeight="1">
      <c r="A16" s="627" t="s">
        <v>58</v>
      </c>
      <c r="B16" s="628" t="s">
        <v>29</v>
      </c>
      <c r="C16" s="629" t="s">
        <v>153</v>
      </c>
      <c r="D16" s="644">
        <v>3518</v>
      </c>
      <c r="E16" s="644">
        <v>5770</v>
      </c>
      <c r="F16" s="644">
        <v>17118</v>
      </c>
      <c r="G16" s="644">
        <f t="shared" si="0"/>
        <v>26406</v>
      </c>
    </row>
    <row r="17" spans="1:7" ht="25.5" customHeight="1">
      <c r="A17" s="633" t="s">
        <v>59</v>
      </c>
      <c r="B17" s="634" t="s">
        <v>30</v>
      </c>
      <c r="C17" s="635" t="s">
        <v>152</v>
      </c>
      <c r="D17" s="648">
        <f>109844+163</f>
        <v>110007</v>
      </c>
      <c r="E17" s="648">
        <f>166682+18258</f>
        <v>184940</v>
      </c>
      <c r="F17" s="654">
        <f>200253+19054</f>
        <v>219307</v>
      </c>
      <c r="G17" s="648">
        <f t="shared" si="0"/>
        <v>514254</v>
      </c>
    </row>
  </sheetData>
  <sheetProtection/>
  <mergeCells count="7">
    <mergeCell ref="D2:D3"/>
    <mergeCell ref="E2:E3"/>
    <mergeCell ref="F2:F3"/>
    <mergeCell ref="G2:G3"/>
    <mergeCell ref="A2:A3"/>
    <mergeCell ref="B2:B3"/>
    <mergeCell ref="C2:C3"/>
  </mergeCells>
  <printOptions horizontalCentered="1"/>
  <pageMargins left="0.2" right="0.2" top="0.7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115" zoomScaleNormal="115" zoomScalePageLayoutView="0" workbookViewId="0" topLeftCell="A1">
      <selection activeCell="D44" sqref="D44:Q44"/>
    </sheetView>
  </sheetViews>
  <sheetFormatPr defaultColWidth="10.140625" defaultRowHeight="35.25" customHeight="1"/>
  <cols>
    <col min="1" max="1" width="5.57421875" style="198" customWidth="1"/>
    <col min="2" max="2" width="12.140625" style="198" customWidth="1"/>
    <col min="3" max="3" width="9.7109375" style="198" customWidth="1"/>
    <col min="4" max="4" width="7.7109375" style="198" customWidth="1"/>
    <col min="5" max="5" width="5.28125" style="198" customWidth="1"/>
    <col min="6" max="6" width="7.8515625" style="198" customWidth="1"/>
    <col min="7" max="8" width="5.140625" style="198" customWidth="1"/>
    <col min="9" max="9" width="8.7109375" style="198" customWidth="1"/>
    <col min="10" max="10" width="9.00390625" style="198" customWidth="1"/>
    <col min="11" max="11" width="6.8515625" style="198" customWidth="1"/>
    <col min="12" max="12" width="7.28125" style="198" customWidth="1"/>
    <col min="13" max="13" width="5.7109375" style="198" customWidth="1"/>
    <col min="14" max="14" width="9.00390625" style="198" customWidth="1"/>
    <col min="15" max="15" width="8.28125" style="198" customWidth="1"/>
    <col min="16" max="16" width="6.28125" style="198" customWidth="1"/>
    <col min="17" max="17" width="8.57421875" style="198" customWidth="1"/>
    <col min="18" max="18" width="11.00390625" style="198" bestFit="1" customWidth="1"/>
    <col min="19" max="16384" width="10.140625" style="198" customWidth="1"/>
  </cols>
  <sheetData>
    <row r="1" spans="15:17" ht="12" customHeight="1">
      <c r="O1" s="828" t="s">
        <v>416</v>
      </c>
      <c r="P1" s="828"/>
      <c r="Q1" s="828"/>
    </row>
    <row r="2" spans="1:17" s="233" customFormat="1" ht="12" customHeight="1">
      <c r="A2" s="829" t="s">
        <v>0</v>
      </c>
      <c r="B2" s="832" t="s">
        <v>131</v>
      </c>
      <c r="C2" s="820" t="s">
        <v>278</v>
      </c>
      <c r="D2" s="820"/>
      <c r="E2" s="820"/>
      <c r="F2" s="820"/>
      <c r="G2" s="820"/>
      <c r="H2" s="820"/>
      <c r="I2" s="820"/>
      <c r="J2" s="820"/>
      <c r="K2" s="820"/>
      <c r="L2" s="820"/>
      <c r="M2" s="820" t="s">
        <v>286</v>
      </c>
      <c r="N2" s="821" t="s">
        <v>285</v>
      </c>
      <c r="O2" s="820" t="s">
        <v>12</v>
      </c>
      <c r="P2" s="820" t="s">
        <v>282</v>
      </c>
      <c r="Q2" s="820" t="s">
        <v>279</v>
      </c>
    </row>
    <row r="3" spans="1:17" s="233" customFormat="1" ht="15.75" customHeight="1">
      <c r="A3" s="830"/>
      <c r="B3" s="832"/>
      <c r="C3" s="820" t="s">
        <v>11</v>
      </c>
      <c r="D3" s="820" t="s">
        <v>276</v>
      </c>
      <c r="E3" s="820"/>
      <c r="F3" s="820"/>
      <c r="G3" s="820"/>
      <c r="H3" s="820"/>
      <c r="I3" s="820" t="s">
        <v>52</v>
      </c>
      <c r="J3" s="820"/>
      <c r="K3" s="820"/>
      <c r="L3" s="820"/>
      <c r="M3" s="820"/>
      <c r="N3" s="822"/>
      <c r="O3" s="820"/>
      <c r="P3" s="820"/>
      <c r="Q3" s="820"/>
    </row>
    <row r="4" spans="1:17" s="233" customFormat="1" ht="33.75" customHeight="1">
      <c r="A4" s="831"/>
      <c r="B4" s="832"/>
      <c r="C4" s="820"/>
      <c r="D4" s="454" t="s">
        <v>274</v>
      </c>
      <c r="E4" s="454" t="s">
        <v>94</v>
      </c>
      <c r="F4" s="454" t="s">
        <v>3</v>
      </c>
      <c r="G4" s="454" t="s">
        <v>4</v>
      </c>
      <c r="H4" s="454" t="s">
        <v>275</v>
      </c>
      <c r="I4" s="454" t="s">
        <v>277</v>
      </c>
      <c r="J4" s="454" t="s">
        <v>94</v>
      </c>
      <c r="K4" s="454" t="s">
        <v>3</v>
      </c>
      <c r="L4" s="454" t="s">
        <v>4</v>
      </c>
      <c r="M4" s="820"/>
      <c r="N4" s="822"/>
      <c r="O4" s="820"/>
      <c r="P4" s="820"/>
      <c r="Q4" s="820"/>
    </row>
    <row r="5" spans="1:17" s="191" customFormat="1" ht="11.25">
      <c r="A5" s="189" t="s">
        <v>9</v>
      </c>
      <c r="B5" s="189" t="s">
        <v>10</v>
      </c>
      <c r="C5" s="190" t="s">
        <v>291</v>
      </c>
      <c r="D5" s="190" t="s">
        <v>284</v>
      </c>
      <c r="E5" s="190" t="s">
        <v>101</v>
      </c>
      <c r="F5" s="190" t="s">
        <v>102</v>
      </c>
      <c r="G5" s="190" t="s">
        <v>103</v>
      </c>
      <c r="H5" s="190" t="s">
        <v>230</v>
      </c>
      <c r="I5" s="190" t="s">
        <v>289</v>
      </c>
      <c r="J5" s="190" t="s">
        <v>135</v>
      </c>
      <c r="K5" s="190" t="s">
        <v>231</v>
      </c>
      <c r="L5" s="190" t="s">
        <v>232</v>
      </c>
      <c r="M5" s="190" t="s">
        <v>280</v>
      </c>
      <c r="N5" s="190" t="s">
        <v>290</v>
      </c>
      <c r="O5" s="190" t="s">
        <v>281</v>
      </c>
      <c r="P5" s="190" t="s">
        <v>104</v>
      </c>
      <c r="Q5" s="190" t="s">
        <v>292</v>
      </c>
    </row>
    <row r="6" spans="1:17" s="219" customFormat="1" ht="12" customHeight="1">
      <c r="A6" s="455" t="s">
        <v>105</v>
      </c>
      <c r="B6" s="456" t="s">
        <v>61</v>
      </c>
      <c r="C6" s="268">
        <f>SUM(C7:C10)</f>
        <v>219000</v>
      </c>
      <c r="D6" s="268">
        <f aca="true" t="shared" si="0" ref="D6:Q6">SUM(D7:D10)</f>
        <v>0</v>
      </c>
      <c r="E6" s="268">
        <f t="shared" si="0"/>
        <v>0</v>
      </c>
      <c r="F6" s="268">
        <f t="shared" si="0"/>
        <v>0</v>
      </c>
      <c r="G6" s="268">
        <f t="shared" si="0"/>
        <v>0</v>
      </c>
      <c r="H6" s="268">
        <f t="shared" si="0"/>
        <v>0</v>
      </c>
      <c r="I6" s="268">
        <f t="shared" si="0"/>
        <v>219000</v>
      </c>
      <c r="J6" s="268">
        <f t="shared" si="0"/>
        <v>39000</v>
      </c>
      <c r="K6" s="268">
        <f t="shared" si="0"/>
        <v>180000</v>
      </c>
      <c r="L6" s="268">
        <f t="shared" si="0"/>
        <v>0</v>
      </c>
      <c r="M6" s="268">
        <f t="shared" si="0"/>
        <v>0</v>
      </c>
      <c r="N6" s="268">
        <f t="shared" si="0"/>
        <v>219000</v>
      </c>
      <c r="O6" s="268">
        <f t="shared" si="0"/>
        <v>0</v>
      </c>
      <c r="P6" s="268">
        <f t="shared" si="0"/>
        <v>0</v>
      </c>
      <c r="Q6" s="268">
        <f t="shared" si="0"/>
        <v>219000</v>
      </c>
    </row>
    <row r="7" spans="1:18" ht="12" customHeight="1">
      <c r="A7" s="469">
        <v>1</v>
      </c>
      <c r="B7" s="221" t="s">
        <v>68</v>
      </c>
      <c r="C7" s="222">
        <f>D7+I7</f>
        <v>219000</v>
      </c>
      <c r="D7" s="222">
        <f>E7+F7+G7+H7</f>
        <v>0</v>
      </c>
      <c r="E7" s="222"/>
      <c r="F7" s="222"/>
      <c r="G7" s="222"/>
      <c r="H7" s="222"/>
      <c r="I7" s="222">
        <f>J7+K7+L7</f>
        <v>219000</v>
      </c>
      <c r="J7" s="222">
        <v>39000</v>
      </c>
      <c r="K7" s="222">
        <v>180000</v>
      </c>
      <c r="L7" s="457"/>
      <c r="M7" s="222"/>
      <c r="N7" s="458">
        <f>C7+M7</f>
        <v>219000</v>
      </c>
      <c r="O7" s="222"/>
      <c r="P7" s="222"/>
      <c r="Q7" s="222">
        <f>N7+O7+P7</f>
        <v>219000</v>
      </c>
      <c r="R7" s="459">
        <f>Q7+'Bieu 06'!Q7+'Bieu 07'!Q7</f>
        <v>206937065</v>
      </c>
    </row>
    <row r="8" spans="1:17" ht="12" customHeight="1">
      <c r="A8" s="470">
        <f>A7+1</f>
        <v>2</v>
      </c>
      <c r="B8" s="44" t="s">
        <v>106</v>
      </c>
      <c r="C8" s="200">
        <f aca="true" t="shared" si="1" ref="C8:C41">D8+I8</f>
        <v>0</v>
      </c>
      <c r="D8" s="200">
        <f aca="true" t="shared" si="2" ref="D8:D41">E8+F8+G8+H8</f>
        <v>0</v>
      </c>
      <c r="E8" s="200"/>
      <c r="F8" s="200"/>
      <c r="G8" s="200"/>
      <c r="H8" s="200"/>
      <c r="I8" s="200">
        <f aca="true" t="shared" si="3" ref="I8:I41">J8+K8+L8</f>
        <v>0</v>
      </c>
      <c r="J8" s="200"/>
      <c r="K8" s="200"/>
      <c r="L8" s="259"/>
      <c r="M8" s="200"/>
      <c r="N8" s="222">
        <f aca="true" t="shared" si="4" ref="N8:N41">C8+M8</f>
        <v>0</v>
      </c>
      <c r="O8" s="200"/>
      <c r="P8" s="200"/>
      <c r="Q8" s="200">
        <f aca="true" t="shared" si="5" ref="Q8:Q41">N8+O8+P8</f>
        <v>0</v>
      </c>
    </row>
    <row r="9" spans="1:17" s="207" customFormat="1" ht="12" customHeight="1">
      <c r="A9" s="470">
        <f>A8+1</f>
        <v>3</v>
      </c>
      <c r="B9" s="44" t="s">
        <v>67</v>
      </c>
      <c r="C9" s="204">
        <f t="shared" si="1"/>
        <v>0</v>
      </c>
      <c r="D9" s="204">
        <f t="shared" si="2"/>
        <v>0</v>
      </c>
      <c r="E9" s="204"/>
      <c r="F9" s="204"/>
      <c r="G9" s="204"/>
      <c r="H9" s="262"/>
      <c r="I9" s="204">
        <f t="shared" si="3"/>
        <v>0</v>
      </c>
      <c r="J9" s="204"/>
      <c r="K9" s="204"/>
      <c r="L9" s="262"/>
      <c r="M9" s="204"/>
      <c r="N9" s="222">
        <f t="shared" si="4"/>
        <v>0</v>
      </c>
      <c r="O9" s="204"/>
      <c r="P9" s="204"/>
      <c r="Q9" s="204">
        <f t="shared" si="5"/>
        <v>0</v>
      </c>
    </row>
    <row r="10" spans="1:17" ht="12" customHeight="1">
      <c r="A10" s="471">
        <f>A9+1</f>
        <v>4</v>
      </c>
      <c r="B10" s="209" t="s">
        <v>70</v>
      </c>
      <c r="C10" s="460">
        <f t="shared" si="1"/>
        <v>0</v>
      </c>
      <c r="D10" s="210">
        <f t="shared" si="2"/>
        <v>0</v>
      </c>
      <c r="E10" s="210"/>
      <c r="F10" s="210"/>
      <c r="G10" s="210"/>
      <c r="H10" s="210"/>
      <c r="I10" s="210">
        <f t="shared" si="3"/>
        <v>0</v>
      </c>
      <c r="J10" s="210"/>
      <c r="K10" s="210"/>
      <c r="L10" s="461"/>
      <c r="M10" s="210"/>
      <c r="N10" s="238">
        <f t="shared" si="4"/>
        <v>0</v>
      </c>
      <c r="O10" s="461"/>
      <c r="P10" s="461"/>
      <c r="Q10" s="210">
        <f t="shared" si="5"/>
        <v>0</v>
      </c>
    </row>
    <row r="11" spans="1:17" s="219" customFormat="1" ht="12" customHeight="1">
      <c r="A11" s="213" t="s">
        <v>107</v>
      </c>
      <c r="B11" s="214" t="s">
        <v>62</v>
      </c>
      <c r="C11" s="215">
        <f>SUM(C12:C18)</f>
        <v>0</v>
      </c>
      <c r="D11" s="215">
        <f aca="true" t="shared" si="6" ref="D11:Q11">SUM(D12:D18)</f>
        <v>0</v>
      </c>
      <c r="E11" s="215">
        <f t="shared" si="6"/>
        <v>0</v>
      </c>
      <c r="F11" s="215">
        <f t="shared" si="6"/>
        <v>0</v>
      </c>
      <c r="G11" s="215">
        <f t="shared" si="6"/>
        <v>0</v>
      </c>
      <c r="H11" s="215">
        <f t="shared" si="6"/>
        <v>0</v>
      </c>
      <c r="I11" s="215">
        <f t="shared" si="6"/>
        <v>0</v>
      </c>
      <c r="J11" s="215">
        <f t="shared" si="6"/>
        <v>0</v>
      </c>
      <c r="K11" s="215">
        <f t="shared" si="6"/>
        <v>0</v>
      </c>
      <c r="L11" s="215">
        <f t="shared" si="6"/>
        <v>0</v>
      </c>
      <c r="M11" s="215">
        <f t="shared" si="6"/>
        <v>0</v>
      </c>
      <c r="N11" s="215">
        <f t="shared" si="6"/>
        <v>0</v>
      </c>
      <c r="O11" s="215">
        <f t="shared" si="6"/>
        <v>0</v>
      </c>
      <c r="P11" s="215">
        <f t="shared" si="6"/>
        <v>0</v>
      </c>
      <c r="Q11" s="215">
        <f t="shared" si="6"/>
        <v>0</v>
      </c>
    </row>
    <row r="12" spans="1:17" ht="12" customHeight="1">
      <c r="A12" s="469">
        <v>5</v>
      </c>
      <c r="B12" s="221" t="s">
        <v>71</v>
      </c>
      <c r="C12" s="222">
        <f t="shared" si="1"/>
        <v>0</v>
      </c>
      <c r="D12" s="222">
        <f t="shared" si="2"/>
        <v>0</v>
      </c>
      <c r="E12" s="222"/>
      <c r="F12" s="222"/>
      <c r="G12" s="222"/>
      <c r="H12" s="222"/>
      <c r="I12" s="222">
        <f t="shared" si="3"/>
        <v>0</v>
      </c>
      <c r="J12" s="222"/>
      <c r="K12" s="222"/>
      <c r="L12" s="457"/>
      <c r="M12" s="222"/>
      <c r="N12" s="222">
        <f t="shared" si="4"/>
        <v>0</v>
      </c>
      <c r="O12" s="222"/>
      <c r="P12" s="222"/>
      <c r="Q12" s="222">
        <f t="shared" si="5"/>
        <v>0</v>
      </c>
    </row>
    <row r="13" spans="1:17" ht="12" customHeight="1">
      <c r="A13" s="470">
        <f aca="true" t="shared" si="7" ref="A13:A18">A12+1</f>
        <v>6</v>
      </c>
      <c r="B13" s="44" t="s">
        <v>72</v>
      </c>
      <c r="C13" s="200">
        <f t="shared" si="1"/>
        <v>0</v>
      </c>
      <c r="D13" s="200">
        <f t="shared" si="2"/>
        <v>0</v>
      </c>
      <c r="E13" s="200"/>
      <c r="F13" s="200"/>
      <c r="G13" s="200"/>
      <c r="H13" s="200"/>
      <c r="I13" s="200">
        <f t="shared" si="3"/>
        <v>0</v>
      </c>
      <c r="J13" s="200"/>
      <c r="K13" s="200"/>
      <c r="L13" s="259"/>
      <c r="M13" s="200"/>
      <c r="N13" s="222">
        <f t="shared" si="4"/>
        <v>0</v>
      </c>
      <c r="O13" s="200"/>
      <c r="P13" s="200"/>
      <c r="Q13" s="200">
        <f t="shared" si="5"/>
        <v>0</v>
      </c>
    </row>
    <row r="14" spans="1:17" ht="12" customHeight="1">
      <c r="A14" s="470">
        <f t="shared" si="7"/>
        <v>7</v>
      </c>
      <c r="B14" s="44" t="s">
        <v>108</v>
      </c>
      <c r="C14" s="200">
        <f t="shared" si="1"/>
        <v>0</v>
      </c>
      <c r="D14" s="200">
        <f t="shared" si="2"/>
        <v>0</v>
      </c>
      <c r="E14" s="200"/>
      <c r="F14" s="200"/>
      <c r="G14" s="200"/>
      <c r="H14" s="259"/>
      <c r="I14" s="200">
        <f t="shared" si="3"/>
        <v>0</v>
      </c>
      <c r="J14" s="200"/>
      <c r="K14" s="200"/>
      <c r="L14" s="259"/>
      <c r="M14" s="200"/>
      <c r="N14" s="222">
        <f t="shared" si="4"/>
        <v>0</v>
      </c>
      <c r="O14" s="200"/>
      <c r="P14" s="200"/>
      <c r="Q14" s="200">
        <f t="shared" si="5"/>
        <v>0</v>
      </c>
    </row>
    <row r="15" spans="1:17" ht="12" customHeight="1">
      <c r="A15" s="469">
        <f t="shared" si="7"/>
        <v>8</v>
      </c>
      <c r="B15" s="44" t="s">
        <v>73</v>
      </c>
      <c r="C15" s="200">
        <f t="shared" si="1"/>
        <v>0</v>
      </c>
      <c r="D15" s="200">
        <f t="shared" si="2"/>
        <v>0</v>
      </c>
      <c r="E15" s="200"/>
      <c r="F15" s="200"/>
      <c r="G15" s="200"/>
      <c r="H15" s="200"/>
      <c r="I15" s="200">
        <f t="shared" si="3"/>
        <v>0</v>
      </c>
      <c r="J15" s="200"/>
      <c r="K15" s="200"/>
      <c r="L15" s="259"/>
      <c r="M15" s="200"/>
      <c r="N15" s="222">
        <f t="shared" si="4"/>
        <v>0</v>
      </c>
      <c r="O15" s="200"/>
      <c r="P15" s="200"/>
      <c r="Q15" s="200">
        <f t="shared" si="5"/>
        <v>0</v>
      </c>
    </row>
    <row r="16" spans="1:17" ht="12" customHeight="1">
      <c r="A16" s="470">
        <f t="shared" si="7"/>
        <v>9</v>
      </c>
      <c r="B16" s="44" t="s">
        <v>75</v>
      </c>
      <c r="C16" s="200">
        <f t="shared" si="1"/>
        <v>0</v>
      </c>
      <c r="D16" s="200">
        <f t="shared" si="2"/>
        <v>0</v>
      </c>
      <c r="E16" s="200"/>
      <c r="F16" s="200"/>
      <c r="G16" s="200"/>
      <c r="H16" s="200"/>
      <c r="I16" s="200">
        <f t="shared" si="3"/>
        <v>0</v>
      </c>
      <c r="J16" s="200"/>
      <c r="K16" s="200"/>
      <c r="L16" s="259"/>
      <c r="M16" s="200"/>
      <c r="N16" s="222">
        <f t="shared" si="4"/>
        <v>0</v>
      </c>
      <c r="O16" s="200"/>
      <c r="P16" s="200"/>
      <c r="Q16" s="200">
        <f t="shared" si="5"/>
        <v>0</v>
      </c>
    </row>
    <row r="17" spans="1:17" ht="12" customHeight="1">
      <c r="A17" s="470">
        <f t="shared" si="7"/>
        <v>10</v>
      </c>
      <c r="B17" s="44" t="s">
        <v>109</v>
      </c>
      <c r="C17" s="200">
        <f t="shared" si="1"/>
        <v>0</v>
      </c>
      <c r="D17" s="200">
        <f t="shared" si="2"/>
        <v>0</v>
      </c>
      <c r="E17" s="200"/>
      <c r="F17" s="200"/>
      <c r="G17" s="200"/>
      <c r="H17" s="200"/>
      <c r="I17" s="200">
        <f t="shared" si="3"/>
        <v>0</v>
      </c>
      <c r="J17" s="200"/>
      <c r="K17" s="200"/>
      <c r="L17" s="259"/>
      <c r="M17" s="200"/>
      <c r="N17" s="222">
        <f t="shared" si="4"/>
        <v>0</v>
      </c>
      <c r="O17" s="200"/>
      <c r="P17" s="200"/>
      <c r="Q17" s="200">
        <f t="shared" si="5"/>
        <v>0</v>
      </c>
    </row>
    <row r="18" spans="1:17" ht="12" customHeight="1">
      <c r="A18" s="469">
        <f t="shared" si="7"/>
        <v>11</v>
      </c>
      <c r="B18" s="209" t="s">
        <v>77</v>
      </c>
      <c r="C18" s="210">
        <f t="shared" si="1"/>
        <v>0</v>
      </c>
      <c r="D18" s="210">
        <f t="shared" si="2"/>
        <v>0</v>
      </c>
      <c r="E18" s="210"/>
      <c r="F18" s="210"/>
      <c r="G18" s="210"/>
      <c r="H18" s="210"/>
      <c r="I18" s="210">
        <f t="shared" si="3"/>
        <v>0</v>
      </c>
      <c r="J18" s="210"/>
      <c r="K18" s="210"/>
      <c r="L18" s="461"/>
      <c r="M18" s="210"/>
      <c r="N18" s="238">
        <f t="shared" si="4"/>
        <v>0</v>
      </c>
      <c r="O18" s="210"/>
      <c r="P18" s="210"/>
      <c r="Q18" s="210">
        <f t="shared" si="5"/>
        <v>0</v>
      </c>
    </row>
    <row r="19" spans="1:17" s="219" customFormat="1" ht="12" customHeight="1">
      <c r="A19" s="213" t="s">
        <v>110</v>
      </c>
      <c r="B19" s="214" t="s">
        <v>63</v>
      </c>
      <c r="C19" s="215">
        <f>SUM(C20:C24)</f>
        <v>0</v>
      </c>
      <c r="D19" s="215">
        <f aca="true" t="shared" si="8" ref="D19:Q19">SUM(D20:D24)</f>
        <v>0</v>
      </c>
      <c r="E19" s="215">
        <f t="shared" si="8"/>
        <v>0</v>
      </c>
      <c r="F19" s="215">
        <f t="shared" si="8"/>
        <v>0</v>
      </c>
      <c r="G19" s="215">
        <f t="shared" si="8"/>
        <v>0</v>
      </c>
      <c r="H19" s="215">
        <f t="shared" si="8"/>
        <v>0</v>
      </c>
      <c r="I19" s="215">
        <f t="shared" si="8"/>
        <v>0</v>
      </c>
      <c r="J19" s="215">
        <f t="shared" si="8"/>
        <v>0</v>
      </c>
      <c r="K19" s="215">
        <f t="shared" si="8"/>
        <v>0</v>
      </c>
      <c r="L19" s="215">
        <f t="shared" si="8"/>
        <v>0</v>
      </c>
      <c r="M19" s="215">
        <f t="shared" si="8"/>
        <v>0</v>
      </c>
      <c r="N19" s="215">
        <f t="shared" si="8"/>
        <v>0</v>
      </c>
      <c r="O19" s="215">
        <f t="shared" si="8"/>
        <v>0</v>
      </c>
      <c r="P19" s="215">
        <f t="shared" si="8"/>
        <v>0</v>
      </c>
      <c r="Q19" s="215">
        <f t="shared" si="8"/>
        <v>0</v>
      </c>
    </row>
    <row r="20" spans="1:17" ht="12" customHeight="1">
      <c r="A20" s="469">
        <v>12</v>
      </c>
      <c r="B20" s="221" t="s">
        <v>78</v>
      </c>
      <c r="C20" s="222">
        <f t="shared" si="1"/>
        <v>0</v>
      </c>
      <c r="D20" s="222">
        <f t="shared" si="2"/>
        <v>0</v>
      </c>
      <c r="E20" s="222"/>
      <c r="F20" s="222"/>
      <c r="G20" s="222"/>
      <c r="H20" s="222"/>
      <c r="I20" s="222">
        <f t="shared" si="3"/>
        <v>0</v>
      </c>
      <c r="J20" s="222"/>
      <c r="K20" s="222"/>
      <c r="L20" s="222"/>
      <c r="M20" s="222"/>
      <c r="N20" s="222">
        <f t="shared" si="4"/>
        <v>0</v>
      </c>
      <c r="O20" s="222"/>
      <c r="P20" s="222"/>
      <c r="Q20" s="222">
        <f t="shared" si="5"/>
        <v>0</v>
      </c>
    </row>
    <row r="21" spans="1:17" ht="12" customHeight="1">
      <c r="A21" s="470">
        <v>13</v>
      </c>
      <c r="B21" s="44" t="s">
        <v>79</v>
      </c>
      <c r="C21" s="200">
        <f t="shared" si="1"/>
        <v>0</v>
      </c>
      <c r="D21" s="200">
        <f t="shared" si="2"/>
        <v>0</v>
      </c>
      <c r="E21" s="200"/>
      <c r="F21" s="200"/>
      <c r="G21" s="200"/>
      <c r="H21" s="200"/>
      <c r="I21" s="200">
        <f t="shared" si="3"/>
        <v>0</v>
      </c>
      <c r="J21" s="200"/>
      <c r="K21" s="200"/>
      <c r="L21" s="200"/>
      <c r="M21" s="200"/>
      <c r="N21" s="222">
        <f t="shared" si="4"/>
        <v>0</v>
      </c>
      <c r="O21" s="200"/>
      <c r="P21" s="200"/>
      <c r="Q21" s="200">
        <f t="shared" si="5"/>
        <v>0</v>
      </c>
    </row>
    <row r="22" spans="1:17" ht="12" customHeight="1">
      <c r="A22" s="470">
        <f>A21+1</f>
        <v>14</v>
      </c>
      <c r="B22" s="44" t="s">
        <v>111</v>
      </c>
      <c r="C22" s="200">
        <f t="shared" si="1"/>
        <v>0</v>
      </c>
      <c r="D22" s="200">
        <f t="shared" si="2"/>
        <v>0</v>
      </c>
      <c r="E22" s="200"/>
      <c r="F22" s="200"/>
      <c r="G22" s="200"/>
      <c r="H22" s="200"/>
      <c r="I22" s="200">
        <f t="shared" si="3"/>
        <v>0</v>
      </c>
      <c r="J22" s="200"/>
      <c r="K22" s="200"/>
      <c r="L22" s="200"/>
      <c r="M22" s="200"/>
      <c r="N22" s="222">
        <f t="shared" si="4"/>
        <v>0</v>
      </c>
      <c r="O22" s="200"/>
      <c r="P22" s="200"/>
      <c r="Q22" s="200">
        <f t="shared" si="5"/>
        <v>0</v>
      </c>
    </row>
    <row r="23" spans="1:17" ht="12" customHeight="1">
      <c r="A23" s="469">
        <f>A22+1</f>
        <v>15</v>
      </c>
      <c r="B23" s="44" t="s">
        <v>112</v>
      </c>
      <c r="C23" s="200">
        <f t="shared" si="1"/>
        <v>0</v>
      </c>
      <c r="D23" s="200">
        <f t="shared" si="2"/>
        <v>0</v>
      </c>
      <c r="E23" s="200"/>
      <c r="F23" s="200"/>
      <c r="G23" s="200"/>
      <c r="H23" s="200"/>
      <c r="I23" s="200">
        <f t="shared" si="3"/>
        <v>0</v>
      </c>
      <c r="J23" s="200"/>
      <c r="K23" s="200"/>
      <c r="L23" s="200"/>
      <c r="M23" s="200"/>
      <c r="N23" s="222">
        <f t="shared" si="4"/>
        <v>0</v>
      </c>
      <c r="O23" s="200"/>
      <c r="P23" s="200"/>
      <c r="Q23" s="200">
        <f t="shared" si="5"/>
        <v>0</v>
      </c>
    </row>
    <row r="24" spans="1:17" ht="12" customHeight="1">
      <c r="A24" s="470">
        <f>A23+1</f>
        <v>16</v>
      </c>
      <c r="B24" s="209" t="s">
        <v>81</v>
      </c>
      <c r="C24" s="210">
        <f t="shared" si="1"/>
        <v>0</v>
      </c>
      <c r="D24" s="210">
        <f t="shared" si="2"/>
        <v>0</v>
      </c>
      <c r="E24" s="210"/>
      <c r="F24" s="210"/>
      <c r="G24" s="210"/>
      <c r="H24" s="210"/>
      <c r="I24" s="210">
        <f t="shared" si="3"/>
        <v>0</v>
      </c>
      <c r="J24" s="210"/>
      <c r="K24" s="210"/>
      <c r="L24" s="210"/>
      <c r="M24" s="210"/>
      <c r="N24" s="238">
        <f t="shared" si="4"/>
        <v>0</v>
      </c>
      <c r="O24" s="210"/>
      <c r="P24" s="210"/>
      <c r="Q24" s="210">
        <f t="shared" si="5"/>
        <v>0</v>
      </c>
    </row>
    <row r="25" spans="1:17" s="219" customFormat="1" ht="12" customHeight="1">
      <c r="A25" s="213" t="s">
        <v>113</v>
      </c>
      <c r="B25" s="214" t="s">
        <v>64</v>
      </c>
      <c r="C25" s="215">
        <f>SUM(C26:C32)</f>
        <v>0</v>
      </c>
      <c r="D25" s="215">
        <f aca="true" t="shared" si="9" ref="D25:Q25">SUM(D26:D32)</f>
        <v>0</v>
      </c>
      <c r="E25" s="215">
        <f t="shared" si="9"/>
        <v>0</v>
      </c>
      <c r="F25" s="215">
        <f t="shared" si="9"/>
        <v>0</v>
      </c>
      <c r="G25" s="215">
        <f t="shared" si="9"/>
        <v>0</v>
      </c>
      <c r="H25" s="215">
        <f t="shared" si="9"/>
        <v>0</v>
      </c>
      <c r="I25" s="215">
        <f t="shared" si="9"/>
        <v>0</v>
      </c>
      <c r="J25" s="215">
        <f t="shared" si="9"/>
        <v>0</v>
      </c>
      <c r="K25" s="215">
        <f t="shared" si="9"/>
        <v>0</v>
      </c>
      <c r="L25" s="215">
        <f t="shared" si="9"/>
        <v>0</v>
      </c>
      <c r="M25" s="215">
        <f t="shared" si="9"/>
        <v>0</v>
      </c>
      <c r="N25" s="215">
        <f t="shared" si="9"/>
        <v>0</v>
      </c>
      <c r="O25" s="215">
        <f t="shared" si="9"/>
        <v>0</v>
      </c>
      <c r="P25" s="215">
        <f t="shared" si="9"/>
        <v>0</v>
      </c>
      <c r="Q25" s="215">
        <f t="shared" si="9"/>
        <v>0</v>
      </c>
    </row>
    <row r="26" spans="1:17" ht="12" customHeight="1">
      <c r="A26" s="469">
        <v>17</v>
      </c>
      <c r="B26" s="221" t="s">
        <v>114</v>
      </c>
      <c r="C26" s="222">
        <f t="shared" si="1"/>
        <v>0</v>
      </c>
      <c r="D26" s="222">
        <f t="shared" si="2"/>
        <v>0</v>
      </c>
      <c r="E26" s="222"/>
      <c r="F26" s="222"/>
      <c r="G26" s="222"/>
      <c r="H26" s="222"/>
      <c r="I26" s="222">
        <f t="shared" si="3"/>
        <v>0</v>
      </c>
      <c r="J26" s="222"/>
      <c r="K26" s="222"/>
      <c r="L26" s="222"/>
      <c r="M26" s="222"/>
      <c r="N26" s="222">
        <f t="shared" si="4"/>
        <v>0</v>
      </c>
      <c r="O26" s="222"/>
      <c r="P26" s="222"/>
      <c r="Q26" s="222">
        <f t="shared" si="5"/>
        <v>0</v>
      </c>
    </row>
    <row r="27" spans="1:17" ht="12" customHeight="1">
      <c r="A27" s="470">
        <f aca="true" t="shared" si="10" ref="A27:A32">A26+1</f>
        <v>18</v>
      </c>
      <c r="B27" s="44" t="s">
        <v>115</v>
      </c>
      <c r="C27" s="200">
        <f t="shared" si="1"/>
        <v>0</v>
      </c>
      <c r="D27" s="200">
        <f t="shared" si="2"/>
        <v>0</v>
      </c>
      <c r="E27" s="200"/>
      <c r="F27" s="200"/>
      <c r="G27" s="200"/>
      <c r="H27" s="200"/>
      <c r="I27" s="200">
        <f t="shared" si="3"/>
        <v>0</v>
      </c>
      <c r="J27" s="200"/>
      <c r="K27" s="200"/>
      <c r="L27" s="200"/>
      <c r="M27" s="200"/>
      <c r="N27" s="222">
        <f t="shared" si="4"/>
        <v>0</v>
      </c>
      <c r="O27" s="200"/>
      <c r="P27" s="200"/>
      <c r="Q27" s="200">
        <f t="shared" si="5"/>
        <v>0</v>
      </c>
    </row>
    <row r="28" spans="1:17" ht="12" customHeight="1">
      <c r="A28" s="470">
        <f t="shared" si="10"/>
        <v>19</v>
      </c>
      <c r="B28" s="44" t="s">
        <v>116</v>
      </c>
      <c r="C28" s="200">
        <f t="shared" si="1"/>
        <v>0</v>
      </c>
      <c r="D28" s="200">
        <f t="shared" si="2"/>
        <v>0</v>
      </c>
      <c r="E28" s="200"/>
      <c r="F28" s="200"/>
      <c r="G28" s="200"/>
      <c r="H28" s="200"/>
      <c r="I28" s="200">
        <f t="shared" si="3"/>
        <v>0</v>
      </c>
      <c r="J28" s="200"/>
      <c r="K28" s="200"/>
      <c r="L28" s="200"/>
      <c r="M28" s="200"/>
      <c r="N28" s="222">
        <f t="shared" si="4"/>
        <v>0</v>
      </c>
      <c r="O28" s="200"/>
      <c r="P28" s="200"/>
      <c r="Q28" s="200">
        <f t="shared" si="5"/>
        <v>0</v>
      </c>
    </row>
    <row r="29" spans="1:17" ht="12" customHeight="1">
      <c r="A29" s="469">
        <f t="shared" si="10"/>
        <v>20</v>
      </c>
      <c r="B29" s="44" t="s">
        <v>84</v>
      </c>
      <c r="C29" s="200">
        <f t="shared" si="1"/>
        <v>0</v>
      </c>
      <c r="D29" s="200">
        <f t="shared" si="2"/>
        <v>0</v>
      </c>
      <c r="E29" s="200"/>
      <c r="F29" s="200"/>
      <c r="G29" s="200"/>
      <c r="H29" s="200"/>
      <c r="I29" s="200">
        <f t="shared" si="3"/>
        <v>0</v>
      </c>
      <c r="J29" s="200"/>
      <c r="K29" s="200"/>
      <c r="L29" s="200"/>
      <c r="M29" s="200"/>
      <c r="N29" s="222">
        <f t="shared" si="4"/>
        <v>0</v>
      </c>
      <c r="O29" s="200"/>
      <c r="P29" s="200"/>
      <c r="Q29" s="200">
        <f t="shared" si="5"/>
        <v>0</v>
      </c>
    </row>
    <row r="30" spans="1:17" ht="12" customHeight="1">
      <c r="A30" s="470">
        <f t="shared" si="10"/>
        <v>21</v>
      </c>
      <c r="B30" s="44" t="s">
        <v>83</v>
      </c>
      <c r="C30" s="200">
        <f t="shared" si="1"/>
        <v>0</v>
      </c>
      <c r="D30" s="200">
        <f t="shared" si="2"/>
        <v>0</v>
      </c>
      <c r="E30" s="200"/>
      <c r="F30" s="200"/>
      <c r="G30" s="200"/>
      <c r="H30" s="200"/>
      <c r="I30" s="200">
        <f t="shared" si="3"/>
        <v>0</v>
      </c>
      <c r="J30" s="200"/>
      <c r="K30" s="200"/>
      <c r="L30" s="200"/>
      <c r="M30" s="200"/>
      <c r="N30" s="222">
        <f t="shared" si="4"/>
        <v>0</v>
      </c>
      <c r="O30" s="200"/>
      <c r="P30" s="200"/>
      <c r="Q30" s="200">
        <f t="shared" si="5"/>
        <v>0</v>
      </c>
    </row>
    <row r="31" spans="1:17" ht="12" customHeight="1">
      <c r="A31" s="469">
        <f t="shared" si="10"/>
        <v>22</v>
      </c>
      <c r="B31" s="44" t="s">
        <v>85</v>
      </c>
      <c r="C31" s="200">
        <f t="shared" si="1"/>
        <v>0</v>
      </c>
      <c r="D31" s="200">
        <f t="shared" si="2"/>
        <v>0</v>
      </c>
      <c r="E31" s="200"/>
      <c r="F31" s="200"/>
      <c r="G31" s="200"/>
      <c r="H31" s="200"/>
      <c r="I31" s="200">
        <f t="shared" si="3"/>
        <v>0</v>
      </c>
      <c r="J31" s="200"/>
      <c r="K31" s="200"/>
      <c r="L31" s="200"/>
      <c r="M31" s="200"/>
      <c r="N31" s="222">
        <f t="shared" si="4"/>
        <v>0</v>
      </c>
      <c r="O31" s="200"/>
      <c r="P31" s="200"/>
      <c r="Q31" s="200">
        <f t="shared" si="5"/>
        <v>0</v>
      </c>
    </row>
    <row r="32" spans="1:17" ht="12" customHeight="1">
      <c r="A32" s="470">
        <f t="shared" si="10"/>
        <v>23</v>
      </c>
      <c r="B32" s="209" t="s">
        <v>86</v>
      </c>
      <c r="C32" s="210">
        <f t="shared" si="1"/>
        <v>0</v>
      </c>
      <c r="D32" s="210">
        <f t="shared" si="2"/>
        <v>0</v>
      </c>
      <c r="E32" s="210"/>
      <c r="F32" s="210"/>
      <c r="G32" s="210"/>
      <c r="H32" s="210"/>
      <c r="I32" s="210">
        <f t="shared" si="3"/>
        <v>0</v>
      </c>
      <c r="J32" s="210"/>
      <c r="K32" s="210"/>
      <c r="L32" s="210"/>
      <c r="M32" s="210"/>
      <c r="N32" s="238">
        <f t="shared" si="4"/>
        <v>0</v>
      </c>
      <c r="O32" s="210"/>
      <c r="P32" s="210"/>
      <c r="Q32" s="210">
        <f t="shared" si="5"/>
        <v>0</v>
      </c>
    </row>
    <row r="33" spans="1:17" s="219" customFormat="1" ht="12" customHeight="1">
      <c r="A33" s="213" t="s">
        <v>117</v>
      </c>
      <c r="B33" s="214" t="s">
        <v>65</v>
      </c>
      <c r="C33" s="215">
        <f>SUM(C34:C38)</f>
        <v>58359643</v>
      </c>
      <c r="D33" s="215">
        <f aca="true" t="shared" si="11" ref="D33:Q33">SUM(D34:D38)</f>
        <v>7400000</v>
      </c>
      <c r="E33" s="215">
        <f t="shared" si="11"/>
        <v>0</v>
      </c>
      <c r="F33" s="215">
        <f t="shared" si="11"/>
        <v>7400000</v>
      </c>
      <c r="G33" s="215">
        <f t="shared" si="11"/>
        <v>0</v>
      </c>
      <c r="H33" s="215">
        <f t="shared" si="11"/>
        <v>0</v>
      </c>
      <c r="I33" s="215">
        <f t="shared" si="11"/>
        <v>50959643</v>
      </c>
      <c r="J33" s="215">
        <f t="shared" si="11"/>
        <v>49525826</v>
      </c>
      <c r="K33" s="215">
        <f t="shared" si="11"/>
        <v>766792</v>
      </c>
      <c r="L33" s="215">
        <f t="shared" si="11"/>
        <v>667025</v>
      </c>
      <c r="M33" s="215">
        <f t="shared" si="11"/>
        <v>0</v>
      </c>
      <c r="N33" s="215">
        <f t="shared" si="11"/>
        <v>58359643</v>
      </c>
      <c r="O33" s="215">
        <f t="shared" si="11"/>
        <v>1500000</v>
      </c>
      <c r="P33" s="215">
        <f t="shared" si="11"/>
        <v>0</v>
      </c>
      <c r="Q33" s="215">
        <f t="shared" si="11"/>
        <v>59859643</v>
      </c>
    </row>
    <row r="34" spans="1:17" ht="12" customHeight="1">
      <c r="A34" s="469">
        <v>24</v>
      </c>
      <c r="B34" s="221" t="s">
        <v>87</v>
      </c>
      <c r="C34" s="222">
        <f t="shared" si="1"/>
        <v>0</v>
      </c>
      <c r="D34" s="222">
        <f t="shared" si="2"/>
        <v>0</v>
      </c>
      <c r="E34" s="222"/>
      <c r="F34" s="222"/>
      <c r="G34" s="222"/>
      <c r="H34" s="222"/>
      <c r="I34" s="222">
        <f t="shared" si="3"/>
        <v>0</v>
      </c>
      <c r="J34" s="222"/>
      <c r="K34" s="222"/>
      <c r="L34" s="222"/>
      <c r="M34" s="222"/>
      <c r="N34" s="222">
        <f t="shared" si="4"/>
        <v>0</v>
      </c>
      <c r="O34" s="222"/>
      <c r="P34" s="222"/>
      <c r="Q34" s="222">
        <f t="shared" si="5"/>
        <v>0</v>
      </c>
    </row>
    <row r="35" spans="1:17" ht="12" customHeight="1">
      <c r="A35" s="470">
        <f>A34+1</f>
        <v>25</v>
      </c>
      <c r="B35" s="44" t="s">
        <v>88</v>
      </c>
      <c r="C35" s="200">
        <f t="shared" si="1"/>
        <v>0</v>
      </c>
      <c r="D35" s="200">
        <f t="shared" si="2"/>
        <v>0</v>
      </c>
      <c r="E35" s="200"/>
      <c r="F35" s="200"/>
      <c r="G35" s="200"/>
      <c r="H35" s="200"/>
      <c r="I35" s="200">
        <f t="shared" si="3"/>
        <v>0</v>
      </c>
      <c r="J35" s="200"/>
      <c r="K35" s="200"/>
      <c r="L35" s="200"/>
      <c r="M35" s="200"/>
      <c r="N35" s="222">
        <f t="shared" si="4"/>
        <v>0</v>
      </c>
      <c r="O35" s="200"/>
      <c r="P35" s="200"/>
      <c r="Q35" s="200">
        <f t="shared" si="5"/>
        <v>0</v>
      </c>
    </row>
    <row r="36" spans="1:17" ht="12" customHeight="1">
      <c r="A36" s="470">
        <f>A35+1</f>
        <v>26</v>
      </c>
      <c r="B36" s="44" t="s">
        <v>89</v>
      </c>
      <c r="C36" s="200">
        <f t="shared" si="1"/>
        <v>0</v>
      </c>
      <c r="D36" s="200">
        <f t="shared" si="2"/>
        <v>0</v>
      </c>
      <c r="E36" s="200"/>
      <c r="F36" s="200"/>
      <c r="G36" s="200"/>
      <c r="H36" s="200"/>
      <c r="I36" s="200">
        <f t="shared" si="3"/>
        <v>0</v>
      </c>
      <c r="J36" s="200"/>
      <c r="K36" s="200"/>
      <c r="L36" s="200"/>
      <c r="M36" s="200"/>
      <c r="N36" s="222">
        <f t="shared" si="4"/>
        <v>0</v>
      </c>
      <c r="O36" s="200">
        <v>1500000</v>
      </c>
      <c r="P36" s="200"/>
      <c r="Q36" s="200">
        <f t="shared" si="5"/>
        <v>1500000</v>
      </c>
    </row>
    <row r="37" spans="1:17" ht="12" customHeight="1">
      <c r="A37" s="469">
        <f>A36+1</f>
        <v>27</v>
      </c>
      <c r="B37" s="44" t="s">
        <v>90</v>
      </c>
      <c r="C37" s="200">
        <f t="shared" si="1"/>
        <v>0</v>
      </c>
      <c r="D37" s="200">
        <f t="shared" si="2"/>
        <v>0</v>
      </c>
      <c r="E37" s="200"/>
      <c r="F37" s="200"/>
      <c r="G37" s="200"/>
      <c r="H37" s="200"/>
      <c r="I37" s="200">
        <f t="shared" si="3"/>
        <v>0</v>
      </c>
      <c r="J37" s="200"/>
      <c r="K37" s="200"/>
      <c r="L37" s="200"/>
      <c r="M37" s="200"/>
      <c r="N37" s="222">
        <f t="shared" si="4"/>
        <v>0</v>
      </c>
      <c r="O37" s="200"/>
      <c r="P37" s="200"/>
      <c r="Q37" s="200">
        <f t="shared" si="5"/>
        <v>0</v>
      </c>
    </row>
    <row r="38" spans="1:17" ht="12" customHeight="1">
      <c r="A38" s="470">
        <f>A37+1</f>
        <v>28</v>
      </c>
      <c r="B38" s="209" t="s">
        <v>91</v>
      </c>
      <c r="C38" s="210">
        <f t="shared" si="1"/>
        <v>58359643</v>
      </c>
      <c r="D38" s="210">
        <f t="shared" si="2"/>
        <v>7400000</v>
      </c>
      <c r="E38" s="210"/>
      <c r="F38" s="210">
        <v>7400000</v>
      </c>
      <c r="G38" s="210"/>
      <c r="H38" s="210"/>
      <c r="I38" s="210">
        <f t="shared" si="3"/>
        <v>50959643</v>
      </c>
      <c r="J38" s="210">
        <v>49525826</v>
      </c>
      <c r="K38" s="210">
        <v>766792</v>
      </c>
      <c r="L38" s="210">
        <v>667025</v>
      </c>
      <c r="M38" s="210"/>
      <c r="N38" s="238">
        <f t="shared" si="4"/>
        <v>58359643</v>
      </c>
      <c r="O38" s="210"/>
      <c r="P38" s="210"/>
      <c r="Q38" s="210">
        <f t="shared" si="5"/>
        <v>58359643</v>
      </c>
    </row>
    <row r="39" spans="1:17" s="219" customFormat="1" ht="12" customHeight="1">
      <c r="A39" s="213" t="s">
        <v>118</v>
      </c>
      <c r="B39" s="214" t="s">
        <v>66</v>
      </c>
      <c r="C39" s="215">
        <f aca="true" t="shared" si="12" ref="C39:Q39">SUM(C40:C41)</f>
        <v>0</v>
      </c>
      <c r="D39" s="215">
        <f t="shared" si="12"/>
        <v>0</v>
      </c>
      <c r="E39" s="215">
        <f t="shared" si="12"/>
        <v>0</v>
      </c>
      <c r="F39" s="215">
        <f t="shared" si="12"/>
        <v>0</v>
      </c>
      <c r="G39" s="215">
        <f t="shared" si="12"/>
        <v>0</v>
      </c>
      <c r="H39" s="215">
        <f t="shared" si="12"/>
        <v>0</v>
      </c>
      <c r="I39" s="215">
        <f t="shared" si="12"/>
        <v>0</v>
      </c>
      <c r="J39" s="215">
        <f t="shared" si="12"/>
        <v>0</v>
      </c>
      <c r="K39" s="215">
        <f t="shared" si="12"/>
        <v>0</v>
      </c>
      <c r="L39" s="215">
        <f t="shared" si="12"/>
        <v>0</v>
      </c>
      <c r="M39" s="215">
        <f t="shared" si="12"/>
        <v>0</v>
      </c>
      <c r="N39" s="215">
        <f t="shared" si="12"/>
        <v>0</v>
      </c>
      <c r="O39" s="215">
        <f t="shared" si="12"/>
        <v>0</v>
      </c>
      <c r="P39" s="215">
        <f t="shared" si="12"/>
        <v>0</v>
      </c>
      <c r="Q39" s="215">
        <f t="shared" si="12"/>
        <v>0</v>
      </c>
    </row>
    <row r="40" spans="1:17" ht="12" customHeight="1">
      <c r="A40" s="469">
        <v>29</v>
      </c>
      <c r="B40" s="221" t="s">
        <v>92</v>
      </c>
      <c r="C40" s="222">
        <f t="shared" si="1"/>
        <v>0</v>
      </c>
      <c r="D40" s="222">
        <f t="shared" si="2"/>
        <v>0</v>
      </c>
      <c r="E40" s="222"/>
      <c r="F40" s="222"/>
      <c r="G40" s="222"/>
      <c r="H40" s="222"/>
      <c r="I40" s="222">
        <f t="shared" si="3"/>
        <v>0</v>
      </c>
      <c r="J40" s="222"/>
      <c r="K40" s="222"/>
      <c r="L40" s="222"/>
      <c r="M40" s="222"/>
      <c r="N40" s="222">
        <f t="shared" si="4"/>
        <v>0</v>
      </c>
      <c r="O40" s="222"/>
      <c r="P40" s="222"/>
      <c r="Q40" s="222">
        <f t="shared" si="5"/>
        <v>0</v>
      </c>
    </row>
    <row r="41" spans="1:17" ht="12" customHeight="1">
      <c r="A41" s="470">
        <v>30</v>
      </c>
      <c r="B41" s="44" t="s">
        <v>93</v>
      </c>
      <c r="C41" s="200">
        <f t="shared" si="1"/>
        <v>0</v>
      </c>
      <c r="D41" s="200">
        <f t="shared" si="2"/>
        <v>0</v>
      </c>
      <c r="E41" s="200"/>
      <c r="F41" s="200"/>
      <c r="G41" s="200"/>
      <c r="H41" s="200"/>
      <c r="I41" s="200">
        <f t="shared" si="3"/>
        <v>0</v>
      </c>
      <c r="J41" s="200"/>
      <c r="K41" s="200"/>
      <c r="L41" s="200"/>
      <c r="M41" s="200"/>
      <c r="N41" s="222">
        <f t="shared" si="4"/>
        <v>0</v>
      </c>
      <c r="O41" s="200"/>
      <c r="P41" s="200"/>
      <c r="Q41" s="200">
        <f t="shared" si="5"/>
        <v>0</v>
      </c>
    </row>
    <row r="42" spans="1:17" s="219" customFormat="1" ht="12" customHeight="1">
      <c r="A42" s="213"/>
      <c r="B42" s="214" t="s">
        <v>400</v>
      </c>
      <c r="C42" s="215">
        <f>C6+C11+C19+C25+C33+C39</f>
        <v>58578643</v>
      </c>
      <c r="D42" s="215">
        <f aca="true" t="shared" si="13" ref="D42:Q42">D6+D11+D19+D25+D33+D39</f>
        <v>7400000</v>
      </c>
      <c r="E42" s="215">
        <f t="shared" si="13"/>
        <v>0</v>
      </c>
      <c r="F42" s="215">
        <f t="shared" si="13"/>
        <v>7400000</v>
      </c>
      <c r="G42" s="215">
        <f t="shared" si="13"/>
        <v>0</v>
      </c>
      <c r="H42" s="215">
        <f t="shared" si="13"/>
        <v>0</v>
      </c>
      <c r="I42" s="215">
        <f>I6+I11+I19+I25+I33+I39</f>
        <v>51178643</v>
      </c>
      <c r="J42" s="215">
        <f t="shared" si="13"/>
        <v>49564826</v>
      </c>
      <c r="K42" s="215">
        <f t="shared" si="13"/>
        <v>946792</v>
      </c>
      <c r="L42" s="215">
        <f t="shared" si="13"/>
        <v>667025</v>
      </c>
      <c r="M42" s="215">
        <f t="shared" si="13"/>
        <v>0</v>
      </c>
      <c r="N42" s="215">
        <f t="shared" si="13"/>
        <v>58578643</v>
      </c>
      <c r="O42" s="215">
        <f t="shared" si="13"/>
        <v>1500000</v>
      </c>
      <c r="P42" s="215">
        <f t="shared" si="13"/>
        <v>0</v>
      </c>
      <c r="Q42" s="215">
        <f t="shared" si="13"/>
        <v>60078643</v>
      </c>
    </row>
    <row r="43" spans="1:17" s="233" customFormat="1" ht="21" customHeight="1">
      <c r="A43" s="219" t="s">
        <v>196</v>
      </c>
      <c r="B43" s="462" t="s">
        <v>410</v>
      </c>
      <c r="C43" s="268">
        <f>11379633-D42</f>
        <v>3979633</v>
      </c>
      <c r="D43" s="219"/>
      <c r="E43" s="219"/>
      <c r="F43" s="268"/>
      <c r="G43" s="268"/>
      <c r="H43" s="268"/>
      <c r="I43" s="268"/>
      <c r="J43" s="268">
        <f>J42+K42+L42</f>
        <v>51178643</v>
      </c>
      <c r="K43" s="268"/>
      <c r="L43" s="219"/>
      <c r="M43" s="215"/>
      <c r="N43" s="215"/>
      <c r="O43" s="215"/>
      <c r="P43" s="215"/>
      <c r="Q43" s="215"/>
    </row>
    <row r="44" spans="1:17" ht="11.25" customHeight="1">
      <c r="A44" s="823" t="s">
        <v>464</v>
      </c>
      <c r="B44" s="824"/>
      <c r="C44" s="268">
        <f>C42+C43</f>
        <v>62558276</v>
      </c>
      <c r="D44" s="825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7"/>
    </row>
    <row r="45" spans="13:17" ht="17.25" customHeight="1">
      <c r="M45" s="464"/>
      <c r="N45" s="464"/>
      <c r="O45" s="464"/>
      <c r="P45" s="464"/>
      <c r="Q45" s="464"/>
    </row>
    <row r="46" spans="13:17" ht="17.25" customHeight="1">
      <c r="M46" s="464"/>
      <c r="N46" s="464"/>
      <c r="O46" s="464"/>
      <c r="P46" s="464"/>
      <c r="Q46" s="464"/>
    </row>
  </sheetData>
  <sheetProtection/>
  <mergeCells count="14">
    <mergeCell ref="A44:B44"/>
    <mergeCell ref="D44:Q44"/>
    <mergeCell ref="O1:Q1"/>
    <mergeCell ref="A2:A4"/>
    <mergeCell ref="B2:B4"/>
    <mergeCell ref="C3:C4"/>
    <mergeCell ref="D3:H3"/>
    <mergeCell ref="Q2:Q4"/>
    <mergeCell ref="C2:L2"/>
    <mergeCell ref="M2:M4"/>
    <mergeCell ref="O2:O4"/>
    <mergeCell ref="P2:P4"/>
    <mergeCell ref="N2:N4"/>
    <mergeCell ref="I3:L3"/>
  </mergeCells>
  <printOptions horizontalCentered="1"/>
  <pageMargins left="0.45" right="0.2" top="0.75" bottom="0.25" header="0.3" footer="0.3"/>
  <pageSetup horizontalDpi="600" verticalDpi="600" orientation="landscape" r:id="rId1"/>
  <headerFooter>
    <oddHeader>&amp;C&amp;"Time new roman,Bold"&amp;10Phụ biểu 05. Kết quả huy động các nguồn thu của QBV&amp;PTR trên toàn quốc năm 2011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" sqref="F4"/>
    </sheetView>
  </sheetViews>
  <sheetFormatPr defaultColWidth="9.140625" defaultRowHeight="15"/>
  <cols>
    <col min="1" max="1" width="5.7109375" style="2" customWidth="1"/>
    <col min="2" max="2" width="39.00390625" style="2" customWidth="1"/>
    <col min="3" max="6" width="12.7109375" style="2" customWidth="1"/>
    <col min="7" max="16384" width="9.140625" style="2" customWidth="1"/>
  </cols>
  <sheetData>
    <row r="1" spans="1:6" ht="12.75">
      <c r="A1" s="910"/>
      <c r="B1" s="910"/>
      <c r="C1" s="910"/>
      <c r="D1" s="910"/>
      <c r="E1" s="910"/>
      <c r="F1" s="910"/>
    </row>
    <row r="2" spans="1:6" s="5" customFormat="1" ht="15.75" customHeight="1">
      <c r="A2" s="895" t="s">
        <v>0</v>
      </c>
      <c r="B2" s="895" t="s">
        <v>1</v>
      </c>
      <c r="C2" s="893" t="s">
        <v>24</v>
      </c>
      <c r="D2" s="893" t="s">
        <v>498</v>
      </c>
      <c r="E2" s="893" t="s">
        <v>8</v>
      </c>
      <c r="F2" s="893" t="s">
        <v>212</v>
      </c>
    </row>
    <row r="3" spans="1:6" s="5" customFormat="1" ht="27" customHeight="1">
      <c r="A3" s="896"/>
      <c r="B3" s="896"/>
      <c r="C3" s="894"/>
      <c r="D3" s="894"/>
      <c r="E3" s="894"/>
      <c r="F3" s="894"/>
    </row>
    <row r="4" spans="1:13" s="5" customFormat="1" ht="27.75" customHeight="1">
      <c r="A4" s="584">
        <v>1</v>
      </c>
      <c r="B4" s="9" t="s">
        <v>496</v>
      </c>
      <c r="C4" s="4" t="s">
        <v>152</v>
      </c>
      <c r="D4" s="642">
        <f>'Bieu 9'!Z44</f>
        <v>81513</v>
      </c>
      <c r="E4" s="642">
        <f>'Bieu 10'!Z44</f>
        <v>110908</v>
      </c>
      <c r="F4" s="643">
        <f>D4+E4</f>
        <v>192421</v>
      </c>
      <c r="K4" s="2"/>
      <c r="M4" s="2"/>
    </row>
    <row r="5" spans="1:13" s="5" customFormat="1" ht="30.75" customHeight="1">
      <c r="A5" s="584">
        <v>2</v>
      </c>
      <c r="B5" s="9" t="s">
        <v>497</v>
      </c>
      <c r="C5" s="4" t="s">
        <v>341</v>
      </c>
      <c r="D5" s="642">
        <f>'Bieu 9'!W44+'Bieu 9'!AI44</f>
        <v>92681</v>
      </c>
      <c r="E5" s="642">
        <f>'Bieu 10'!W44+'Bieu 10'!AI44</f>
        <v>189566</v>
      </c>
      <c r="F5" s="643">
        <f>D5+E5</f>
        <v>282247</v>
      </c>
      <c r="K5" s="2"/>
      <c r="M5" s="2"/>
    </row>
    <row r="6" ht="12.75">
      <c r="F6" s="497"/>
    </row>
  </sheetData>
  <sheetProtection/>
  <mergeCells count="7">
    <mergeCell ref="F2:F3"/>
    <mergeCell ref="A1:F1"/>
    <mergeCell ref="A2:A3"/>
    <mergeCell ref="B2:B3"/>
    <mergeCell ref="C2:C3"/>
    <mergeCell ref="D2:D3"/>
    <mergeCell ref="E2:E3"/>
  </mergeCells>
  <printOptions horizontalCentered="1"/>
  <pageMargins left="0.2" right="0.2" top="0.75" bottom="0.2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140625" defaultRowHeight="15"/>
  <cols>
    <col min="1" max="1" width="5.7109375" style="2" customWidth="1"/>
    <col min="2" max="2" width="39.00390625" style="2" customWidth="1"/>
    <col min="3" max="4" width="12.7109375" style="2" customWidth="1"/>
    <col min="5" max="5" width="12.421875" style="2" customWidth="1"/>
    <col min="6" max="16384" width="9.140625" style="2" customWidth="1"/>
  </cols>
  <sheetData>
    <row r="2" spans="1:5" s="5" customFormat="1" ht="15.75" customHeight="1">
      <c r="A2" s="895" t="s">
        <v>0</v>
      </c>
      <c r="B2" s="895" t="s">
        <v>1</v>
      </c>
      <c r="C2" s="893" t="s">
        <v>24</v>
      </c>
      <c r="D2" s="893" t="s">
        <v>498</v>
      </c>
      <c r="E2" s="893" t="s">
        <v>8</v>
      </c>
    </row>
    <row r="3" spans="1:5" s="5" customFormat="1" ht="27" customHeight="1">
      <c r="A3" s="896"/>
      <c r="B3" s="896"/>
      <c r="C3" s="894"/>
      <c r="D3" s="894"/>
      <c r="E3" s="894"/>
    </row>
    <row r="4" spans="1:12" s="5" customFormat="1" ht="30.75" customHeight="1">
      <c r="A4" s="584">
        <v>2</v>
      </c>
      <c r="B4" s="9" t="s">
        <v>497</v>
      </c>
      <c r="C4" s="4" t="s">
        <v>41</v>
      </c>
      <c r="D4" s="642">
        <f>('Bieu 9'!U44+'Bieu 9'!AG44)/'Bieu 9'!W45*1000</f>
        <v>3588808.0081138527</v>
      </c>
      <c r="E4" s="642">
        <f>('Bieu 10'!U44+'Bieu 10'!AG44)/'Bieu 10'!W45*1000</f>
        <v>1778766.1658736272</v>
      </c>
      <c r="J4" s="2"/>
      <c r="L4" s="2"/>
    </row>
    <row r="5" ht="12.75">
      <c r="E5" s="497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2" right="0.2" top="0.75" bottom="0.2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34"/>
  <sheetViews>
    <sheetView zoomScale="115" zoomScaleNormal="115" zoomScalePageLayoutView="0" workbookViewId="0" topLeftCell="A1">
      <pane xSplit="2" ySplit="3" topLeftCell="F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4" sqref="AE34"/>
    </sheetView>
  </sheetViews>
  <sheetFormatPr defaultColWidth="9.140625" defaultRowHeight="15"/>
  <cols>
    <col min="1" max="1" width="4.7109375" style="2" customWidth="1"/>
    <col min="2" max="2" width="32.421875" style="2" customWidth="1"/>
    <col min="3" max="3" width="11.28125" style="2" customWidth="1"/>
    <col min="4" max="4" width="9.140625" style="154" customWidth="1"/>
    <col min="5" max="5" width="8.421875" style="154" customWidth="1"/>
    <col min="6" max="7" width="9.00390625" style="154" customWidth="1"/>
    <col min="8" max="8" width="9.28125" style="2" bestFit="1" customWidth="1"/>
    <col min="9" max="11" width="9.28125" style="154" bestFit="1" customWidth="1"/>
    <col min="12" max="12" width="10.28125" style="154" customWidth="1"/>
    <col min="13" max="16" width="9.28125" style="154" bestFit="1" customWidth="1"/>
    <col min="17" max="17" width="12.421875" style="154" bestFit="1" customWidth="1"/>
    <col min="18" max="18" width="9.28125" style="154" bestFit="1" customWidth="1"/>
    <col min="19" max="25" width="9.28125" style="2" bestFit="1" customWidth="1"/>
    <col min="26" max="26" width="10.7109375" style="2" customWidth="1"/>
    <col min="27" max="27" width="9.28125" style="2" bestFit="1" customWidth="1"/>
    <col min="28" max="28" width="11.140625" style="2" customWidth="1"/>
    <col min="29" max="29" width="11.57421875" style="2" customWidth="1"/>
    <col min="30" max="30" width="9.28125" style="2" bestFit="1" customWidth="1"/>
    <col min="31" max="31" width="10.8515625" style="2" customWidth="1"/>
    <col min="32" max="32" width="11.28125" style="2" bestFit="1" customWidth="1"/>
    <col min="33" max="16384" width="9.140625" style="2" customWidth="1"/>
  </cols>
  <sheetData>
    <row r="1" ht="14.25" customHeight="1">
      <c r="C1" s="62"/>
    </row>
    <row r="2" spans="1:30" s="5" customFormat="1" ht="14.25" customHeight="1">
      <c r="A2" s="895" t="s">
        <v>0</v>
      </c>
      <c r="B2" s="895" t="s">
        <v>35</v>
      </c>
      <c r="C2" s="895" t="s">
        <v>24</v>
      </c>
      <c r="D2" s="911" t="s">
        <v>61</v>
      </c>
      <c r="E2" s="911"/>
      <c r="F2" s="911"/>
      <c r="G2" s="911"/>
      <c r="H2" s="911" t="s">
        <v>62</v>
      </c>
      <c r="I2" s="911"/>
      <c r="J2" s="911"/>
      <c r="K2" s="911"/>
      <c r="L2" s="911"/>
      <c r="M2" s="911"/>
      <c r="N2" s="911"/>
      <c r="O2" s="904" t="s">
        <v>63</v>
      </c>
      <c r="P2" s="905"/>
      <c r="Q2" s="905"/>
      <c r="R2" s="906"/>
      <c r="S2" s="904" t="s">
        <v>64</v>
      </c>
      <c r="T2" s="905"/>
      <c r="U2" s="905"/>
      <c r="V2" s="905"/>
      <c r="W2" s="906"/>
      <c r="X2" s="904" t="s">
        <v>65</v>
      </c>
      <c r="Y2" s="905"/>
      <c r="Z2" s="905"/>
      <c r="AA2" s="905"/>
      <c r="AB2" s="906"/>
      <c r="AC2" s="911" t="s">
        <v>66</v>
      </c>
      <c r="AD2" s="911"/>
    </row>
    <row r="3" spans="1:30" s="5" customFormat="1" ht="28.5" customHeight="1">
      <c r="A3" s="896"/>
      <c r="B3" s="896"/>
      <c r="C3" s="896"/>
      <c r="D3" s="152" t="s">
        <v>67</v>
      </c>
      <c r="E3" s="152" t="s">
        <v>68</v>
      </c>
      <c r="F3" s="152" t="s">
        <v>69</v>
      </c>
      <c r="G3" s="152" t="s">
        <v>70</v>
      </c>
      <c r="H3" s="57" t="s">
        <v>71</v>
      </c>
      <c r="I3" s="152" t="s">
        <v>72</v>
      </c>
      <c r="J3" s="152" t="s">
        <v>73</v>
      </c>
      <c r="K3" s="152" t="s">
        <v>74</v>
      </c>
      <c r="L3" s="152" t="s">
        <v>75</v>
      </c>
      <c r="M3" s="152" t="s">
        <v>76</v>
      </c>
      <c r="N3" s="152" t="s">
        <v>77</v>
      </c>
      <c r="O3" s="152" t="s">
        <v>78</v>
      </c>
      <c r="P3" s="152" t="s">
        <v>79</v>
      </c>
      <c r="Q3" s="152" t="s">
        <v>80</v>
      </c>
      <c r="R3" s="152" t="s">
        <v>81</v>
      </c>
      <c r="S3" s="57" t="s">
        <v>82</v>
      </c>
      <c r="T3" s="57" t="s">
        <v>83</v>
      </c>
      <c r="U3" s="57" t="s">
        <v>84</v>
      </c>
      <c r="V3" s="57" t="s">
        <v>85</v>
      </c>
      <c r="W3" s="57" t="s">
        <v>86</v>
      </c>
      <c r="X3" s="57" t="s">
        <v>87</v>
      </c>
      <c r="Y3" s="57" t="s">
        <v>88</v>
      </c>
      <c r="Z3" s="57" t="s">
        <v>89</v>
      </c>
      <c r="AA3" s="57" t="s">
        <v>90</v>
      </c>
      <c r="AB3" s="57" t="s">
        <v>91</v>
      </c>
      <c r="AC3" s="57" t="s">
        <v>92</v>
      </c>
      <c r="AD3" s="57" t="s">
        <v>93</v>
      </c>
    </row>
    <row r="4" spans="1:30" ht="19.5" customHeight="1">
      <c r="A4" s="1"/>
      <c r="B4" s="1" t="s">
        <v>6</v>
      </c>
      <c r="C4" s="1"/>
      <c r="D4" s="153"/>
      <c r="E4" s="153"/>
      <c r="F4" s="153"/>
      <c r="G4" s="153"/>
      <c r="H4" s="59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19.5" customHeight="1">
      <c r="A5" s="9">
        <v>1</v>
      </c>
      <c r="B5" s="9" t="s">
        <v>46</v>
      </c>
      <c r="C5" s="1"/>
      <c r="D5" s="155"/>
      <c r="E5" s="153"/>
      <c r="F5" s="153"/>
      <c r="G5" s="153"/>
      <c r="H5" s="59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0" ht="19.5" customHeight="1">
      <c r="A6" s="3"/>
      <c r="B6" s="63" t="s">
        <v>38</v>
      </c>
      <c r="C6" s="7" t="s">
        <v>39</v>
      </c>
      <c r="D6" s="155">
        <v>5.2</v>
      </c>
      <c r="E6" s="155">
        <v>2.85</v>
      </c>
      <c r="F6" s="153"/>
      <c r="G6" s="153"/>
      <c r="H6" s="59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59"/>
      <c r="T6" s="59"/>
      <c r="U6" s="59"/>
      <c r="V6" s="59"/>
      <c r="W6" s="59"/>
      <c r="X6" s="90">
        <v>14.69</v>
      </c>
      <c r="Y6" s="59"/>
      <c r="Z6" s="89">
        <v>7</v>
      </c>
      <c r="AA6" s="89">
        <f>3157/860</f>
        <v>3.6709302325581397</v>
      </c>
      <c r="AB6" s="89">
        <v>4.7</v>
      </c>
      <c r="AC6" s="494"/>
      <c r="AD6" s="59"/>
    </row>
    <row r="7" spans="1:30" ht="19.5" customHeight="1">
      <c r="A7" s="6"/>
      <c r="B7" s="11" t="s">
        <v>148</v>
      </c>
      <c r="C7" s="7" t="s">
        <v>40</v>
      </c>
      <c r="D7" s="151">
        <v>175399</v>
      </c>
      <c r="E7" s="151">
        <v>110000</v>
      </c>
      <c r="F7" s="153"/>
      <c r="G7" s="153"/>
      <c r="H7" s="59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59"/>
      <c r="T7" s="59"/>
      <c r="U7" s="59"/>
      <c r="V7" s="59"/>
      <c r="W7" s="59"/>
      <c r="X7" s="59">
        <v>220967</v>
      </c>
      <c r="Y7" s="59"/>
      <c r="Z7" s="59">
        <v>60424</v>
      </c>
      <c r="AA7" s="59">
        <v>38782</v>
      </c>
      <c r="AB7" s="59">
        <v>325000</v>
      </c>
      <c r="AC7" s="495"/>
      <c r="AD7" s="59"/>
    </row>
    <row r="8" spans="1:30" ht="19.5" customHeight="1">
      <c r="A8" s="6"/>
      <c r="B8" s="11" t="s">
        <v>43</v>
      </c>
      <c r="C8" s="7" t="s">
        <v>41</v>
      </c>
      <c r="D8" s="151">
        <f>D6*D7</f>
        <v>912074.8</v>
      </c>
      <c r="E8" s="151">
        <f>E6*E7</f>
        <v>313500</v>
      </c>
      <c r="F8" s="153"/>
      <c r="G8" s="153"/>
      <c r="H8" s="59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59"/>
      <c r="T8" s="59"/>
      <c r="U8" s="59"/>
      <c r="V8" s="59"/>
      <c r="W8" s="59"/>
      <c r="X8" s="59">
        <f>X6*X7</f>
        <v>3246005.23</v>
      </c>
      <c r="Y8" s="59"/>
      <c r="Z8" s="59">
        <f>Z6*Z7</f>
        <v>422968</v>
      </c>
      <c r="AA8" s="59">
        <f>AA6*AA7</f>
        <v>142366.01627906977</v>
      </c>
      <c r="AB8" s="59">
        <f>AB7*AB6</f>
        <v>1527500</v>
      </c>
      <c r="AC8" s="495"/>
      <c r="AD8" s="59"/>
    </row>
    <row r="9" spans="1:30" ht="19.5" customHeight="1">
      <c r="A9" s="9">
        <v>2</v>
      </c>
      <c r="B9" s="9" t="s">
        <v>44</v>
      </c>
      <c r="C9" s="4"/>
      <c r="D9" s="155"/>
      <c r="E9" s="153"/>
      <c r="F9" s="153"/>
      <c r="G9" s="153"/>
      <c r="H9" s="59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59"/>
      <c r="T9" s="59"/>
      <c r="U9" s="59"/>
      <c r="V9" s="59"/>
      <c r="W9" s="59"/>
      <c r="X9" s="59"/>
      <c r="Y9" s="59"/>
      <c r="Z9" s="89"/>
      <c r="AA9" s="59"/>
      <c r="AB9" s="59"/>
      <c r="AC9" s="496"/>
      <c r="AD9" s="59"/>
    </row>
    <row r="10" spans="1:30" ht="19.5" customHeight="1">
      <c r="A10" s="6"/>
      <c r="B10" s="11" t="s">
        <v>38</v>
      </c>
      <c r="C10" s="7" t="s">
        <v>39</v>
      </c>
      <c r="D10" s="155">
        <v>13</v>
      </c>
      <c r="E10" s="155"/>
      <c r="F10" s="153"/>
      <c r="G10" s="153"/>
      <c r="H10" s="59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59"/>
      <c r="T10" s="59"/>
      <c r="U10" s="59"/>
      <c r="V10" s="59"/>
      <c r="W10" s="59"/>
      <c r="X10" s="59"/>
      <c r="Y10" s="59"/>
      <c r="Z10" s="89">
        <v>28.43</v>
      </c>
      <c r="AA10" s="59">
        <v>33</v>
      </c>
      <c r="AB10" s="59">
        <v>25.8</v>
      </c>
      <c r="AC10" s="494"/>
      <c r="AD10" s="59"/>
    </row>
    <row r="11" spans="1:30" ht="19.5" customHeight="1">
      <c r="A11" s="6"/>
      <c r="B11" s="11" t="s">
        <v>147</v>
      </c>
      <c r="C11" s="7" t="s">
        <v>40</v>
      </c>
      <c r="D11" s="151">
        <v>94715</v>
      </c>
      <c r="E11" s="151"/>
      <c r="F11" s="153"/>
      <c r="G11" s="153"/>
      <c r="H11" s="59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59"/>
      <c r="T11" s="59"/>
      <c r="U11" s="59"/>
      <c r="V11" s="59"/>
      <c r="W11" s="59"/>
      <c r="X11" s="59"/>
      <c r="Y11" s="59"/>
      <c r="Z11" s="59">
        <v>154039</v>
      </c>
      <c r="AA11" s="59">
        <v>202395</v>
      </c>
      <c r="AB11" s="59">
        <v>325000</v>
      </c>
      <c r="AC11" s="495"/>
      <c r="AD11" s="59"/>
    </row>
    <row r="12" spans="1:30" ht="19.5" customHeight="1">
      <c r="A12" s="6"/>
      <c r="B12" s="11" t="s">
        <v>43</v>
      </c>
      <c r="C12" s="7" t="s">
        <v>41</v>
      </c>
      <c r="D12" s="151">
        <f>D10*D11</f>
        <v>1231295</v>
      </c>
      <c r="E12" s="151"/>
      <c r="F12" s="153"/>
      <c r="G12" s="153"/>
      <c r="H12" s="59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59"/>
      <c r="T12" s="59"/>
      <c r="U12" s="59"/>
      <c r="V12" s="59"/>
      <c r="W12" s="59"/>
      <c r="X12" s="59"/>
      <c r="Y12" s="59"/>
      <c r="Z12" s="59">
        <f>Z10*Z11</f>
        <v>4379328.77</v>
      </c>
      <c r="AA12" s="59">
        <f>AA10*AA11</f>
        <v>6679035</v>
      </c>
      <c r="AB12" s="59">
        <f>AB10*AB11</f>
        <v>8385000</v>
      </c>
      <c r="AC12" s="495"/>
      <c r="AD12" s="59"/>
    </row>
    <row r="13" spans="1:30" ht="19.5" customHeight="1">
      <c r="A13" s="1"/>
      <c r="B13" s="1" t="s">
        <v>7</v>
      </c>
      <c r="C13" s="1"/>
      <c r="D13" s="155"/>
      <c r="E13" s="155"/>
      <c r="F13" s="155"/>
      <c r="G13" s="155"/>
      <c r="H13" s="64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9.5" customHeight="1">
      <c r="A14" s="9">
        <v>1</v>
      </c>
      <c r="B14" s="9" t="s">
        <v>46</v>
      </c>
      <c r="C14" s="1"/>
      <c r="D14" s="155"/>
      <c r="E14" s="155"/>
      <c r="F14" s="155"/>
      <c r="G14" s="155"/>
      <c r="H14" s="6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9.5" customHeight="1">
      <c r="A15" s="3"/>
      <c r="B15" s="63" t="s">
        <v>38</v>
      </c>
      <c r="C15" s="7" t="s">
        <v>39</v>
      </c>
      <c r="D15" s="155">
        <v>5.2</v>
      </c>
      <c r="E15" s="155">
        <v>2.85</v>
      </c>
      <c r="F15" s="155">
        <v>2.08</v>
      </c>
      <c r="G15" s="155">
        <v>3.66</v>
      </c>
      <c r="H15" s="64">
        <v>1.01</v>
      </c>
      <c r="I15" s="155">
        <v>2.314</v>
      </c>
      <c r="J15" s="155"/>
      <c r="K15" s="155"/>
      <c r="L15" s="155"/>
      <c r="M15" s="155"/>
      <c r="N15" s="155"/>
      <c r="O15" s="155"/>
      <c r="P15" s="155"/>
      <c r="Q15" s="155"/>
      <c r="R15" s="155"/>
      <c r="S15" s="64"/>
      <c r="T15" s="64"/>
      <c r="U15" s="64"/>
      <c r="V15" s="64"/>
      <c r="W15" s="64"/>
      <c r="X15" s="64">
        <v>14.69</v>
      </c>
      <c r="Y15" s="64"/>
      <c r="Z15" s="64">
        <v>7</v>
      </c>
      <c r="AA15" s="89">
        <f>3157/860</f>
        <v>3.6709302325581397</v>
      </c>
      <c r="AB15" s="89">
        <v>4.4</v>
      </c>
      <c r="AC15" s="64"/>
      <c r="AD15" s="64"/>
    </row>
    <row r="16" spans="1:30" ht="19.5" customHeight="1">
      <c r="A16" s="6"/>
      <c r="B16" s="11" t="s">
        <v>42</v>
      </c>
      <c r="C16" s="7" t="s">
        <v>40</v>
      </c>
      <c r="D16" s="151">
        <v>175399</v>
      </c>
      <c r="E16" s="151">
        <v>110000</v>
      </c>
      <c r="F16" s="151">
        <v>287956</v>
      </c>
      <c r="G16" s="151">
        <v>124319</v>
      </c>
      <c r="H16" s="13">
        <v>29836</v>
      </c>
      <c r="I16" s="151">
        <v>66500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3"/>
      <c r="T16" s="13"/>
      <c r="U16" s="13"/>
      <c r="V16" s="13"/>
      <c r="W16" s="13"/>
      <c r="X16" s="13">
        <v>216900</v>
      </c>
      <c r="Y16" s="13"/>
      <c r="Z16" s="13">
        <v>60424</v>
      </c>
      <c r="AA16" s="59">
        <v>33798</v>
      </c>
      <c r="AB16" s="59">
        <v>350000</v>
      </c>
      <c r="AC16" s="13"/>
      <c r="AD16" s="13"/>
    </row>
    <row r="17" spans="1:30" ht="19.5" customHeight="1">
      <c r="A17" s="6"/>
      <c r="B17" s="11" t="s">
        <v>43</v>
      </c>
      <c r="C17" s="7" t="s">
        <v>41</v>
      </c>
      <c r="D17" s="151">
        <f>D15*D16</f>
        <v>912074.8</v>
      </c>
      <c r="E17" s="151">
        <f>E15*E16</f>
        <v>313500</v>
      </c>
      <c r="F17" s="151">
        <f>F15*F16</f>
        <v>598948.48</v>
      </c>
      <c r="G17" s="151">
        <f aca="true" t="shared" si="0" ref="G17:AD17">G15*G16</f>
        <v>455007.54000000004</v>
      </c>
      <c r="H17" s="13">
        <f t="shared" si="0"/>
        <v>30134.36</v>
      </c>
      <c r="I17" s="151">
        <f t="shared" si="0"/>
        <v>153881</v>
      </c>
      <c r="J17" s="151">
        <f t="shared" si="0"/>
        <v>0</v>
      </c>
      <c r="K17" s="151">
        <f t="shared" si="0"/>
        <v>0</v>
      </c>
      <c r="L17" s="151">
        <f t="shared" si="0"/>
        <v>0</v>
      </c>
      <c r="M17" s="151">
        <f t="shared" si="0"/>
        <v>0</v>
      </c>
      <c r="N17" s="151">
        <f t="shared" si="0"/>
        <v>0</v>
      </c>
      <c r="O17" s="151">
        <f t="shared" si="0"/>
        <v>0</v>
      </c>
      <c r="P17" s="151">
        <f t="shared" si="0"/>
        <v>0</v>
      </c>
      <c r="Q17" s="151">
        <f t="shared" si="0"/>
        <v>0</v>
      </c>
      <c r="R17" s="151">
        <f t="shared" si="0"/>
        <v>0</v>
      </c>
      <c r="S17" s="13">
        <f t="shared" si="0"/>
        <v>0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 t="shared" si="0"/>
        <v>0</v>
      </c>
      <c r="X17" s="13">
        <f t="shared" si="0"/>
        <v>3186261</v>
      </c>
      <c r="Y17" s="13">
        <f t="shared" si="0"/>
        <v>0</v>
      </c>
      <c r="Z17" s="13">
        <f t="shared" si="0"/>
        <v>422968</v>
      </c>
      <c r="AA17" s="59">
        <f>AA15*AA16</f>
        <v>124070.1</v>
      </c>
      <c r="AB17" s="59">
        <f>AB16*AB15</f>
        <v>1540000.0000000002</v>
      </c>
      <c r="AC17" s="13">
        <f t="shared" si="0"/>
        <v>0</v>
      </c>
      <c r="AD17" s="13">
        <f t="shared" si="0"/>
        <v>0</v>
      </c>
    </row>
    <row r="18" spans="1:30" ht="19.5" customHeight="1">
      <c r="A18" s="9">
        <v>2</v>
      </c>
      <c r="B18" s="9" t="s">
        <v>44</v>
      </c>
      <c r="C18" s="4"/>
      <c r="D18" s="155"/>
      <c r="E18" s="155"/>
      <c r="F18" s="155"/>
      <c r="G18" s="155"/>
      <c r="H18" s="64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19.5" customHeight="1">
      <c r="A19" s="6"/>
      <c r="B19" s="11" t="s">
        <v>38</v>
      </c>
      <c r="C19" s="7" t="s">
        <v>39</v>
      </c>
      <c r="D19" s="155">
        <v>13</v>
      </c>
      <c r="E19" s="155"/>
      <c r="F19" s="155">
        <v>7.83</v>
      </c>
      <c r="G19" s="155">
        <v>31.355</v>
      </c>
      <c r="H19" s="64">
        <v>8.2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64">
        <v>20.2</v>
      </c>
      <c r="T19" s="64"/>
      <c r="U19" s="64"/>
      <c r="V19" s="64"/>
      <c r="W19" s="64"/>
      <c r="X19" s="64"/>
      <c r="Y19" s="64"/>
      <c r="Z19" s="64">
        <v>28.43</v>
      </c>
      <c r="AA19" s="64">
        <v>31</v>
      </c>
      <c r="AB19" s="64">
        <v>22.8</v>
      </c>
      <c r="AC19" s="64"/>
      <c r="AD19" s="64"/>
    </row>
    <row r="20" spans="1:30" ht="19.5" customHeight="1">
      <c r="A20" s="6"/>
      <c r="B20" s="11" t="s">
        <v>147</v>
      </c>
      <c r="C20" s="7" t="s">
        <v>40</v>
      </c>
      <c r="D20" s="151">
        <v>94715</v>
      </c>
      <c r="E20" s="151"/>
      <c r="F20" s="151">
        <v>270214</v>
      </c>
      <c r="G20" s="151">
        <v>111887</v>
      </c>
      <c r="H20" s="13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3">
        <v>274000</v>
      </c>
      <c r="T20" s="13"/>
      <c r="U20" s="13"/>
      <c r="V20" s="13"/>
      <c r="W20" s="13"/>
      <c r="X20" s="13"/>
      <c r="Y20" s="13"/>
      <c r="Z20" s="13">
        <v>154039</v>
      </c>
      <c r="AA20" s="13">
        <v>200000</v>
      </c>
      <c r="AB20" s="13">
        <v>350000</v>
      </c>
      <c r="AC20" s="13"/>
      <c r="AD20" s="13"/>
    </row>
    <row r="21" spans="1:30" ht="19.5" customHeight="1">
      <c r="A21" s="6"/>
      <c r="B21" s="11" t="s">
        <v>43</v>
      </c>
      <c r="C21" s="7" t="s">
        <v>41</v>
      </c>
      <c r="D21" s="151">
        <f>D19*D20</f>
        <v>1231295</v>
      </c>
      <c r="E21" s="151"/>
      <c r="F21" s="151">
        <f>F19*F20</f>
        <v>2115775.62</v>
      </c>
      <c r="G21" s="151">
        <f aca="true" t="shared" si="1" ref="G21:AD21">G19*G20</f>
        <v>3508216.8850000002</v>
      </c>
      <c r="H21" s="13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1">
        <f t="shared" si="1"/>
        <v>0</v>
      </c>
      <c r="P21" s="151">
        <f t="shared" si="1"/>
        <v>0</v>
      </c>
      <c r="Q21" s="151">
        <f t="shared" si="1"/>
        <v>0</v>
      </c>
      <c r="R21" s="151">
        <f t="shared" si="1"/>
        <v>0</v>
      </c>
      <c r="S21" s="13">
        <f t="shared" si="1"/>
        <v>5534800</v>
      </c>
      <c r="T21" s="13">
        <f t="shared" si="1"/>
        <v>0</v>
      </c>
      <c r="U21" s="13">
        <f t="shared" si="1"/>
        <v>0</v>
      </c>
      <c r="V21" s="13">
        <f t="shared" si="1"/>
        <v>0</v>
      </c>
      <c r="W21" s="13">
        <f t="shared" si="1"/>
        <v>0</v>
      </c>
      <c r="X21" s="13">
        <f t="shared" si="1"/>
        <v>0</v>
      </c>
      <c r="Y21" s="13">
        <f t="shared" si="1"/>
        <v>0</v>
      </c>
      <c r="Z21" s="13">
        <f t="shared" si="1"/>
        <v>4379328.77</v>
      </c>
      <c r="AA21" s="13">
        <f t="shared" si="1"/>
        <v>6200000</v>
      </c>
      <c r="AB21" s="13">
        <f>AB19*AB20</f>
        <v>7980000</v>
      </c>
      <c r="AC21" s="13">
        <f t="shared" si="1"/>
        <v>0</v>
      </c>
      <c r="AD21" s="13">
        <f t="shared" si="1"/>
        <v>0</v>
      </c>
    </row>
    <row r="22" spans="1:30" ht="19.5" customHeight="1">
      <c r="A22" s="1"/>
      <c r="B22" s="1" t="s">
        <v>8</v>
      </c>
      <c r="C22" s="1"/>
      <c r="D22" s="155"/>
      <c r="E22" s="155"/>
      <c r="F22" s="155"/>
      <c r="G22" s="155"/>
      <c r="H22" s="6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64"/>
      <c r="T22" s="64"/>
      <c r="U22" s="64"/>
      <c r="V22" s="64"/>
      <c r="W22" s="64"/>
      <c r="X22" s="64"/>
      <c r="Y22" s="64"/>
      <c r="Z22" s="64"/>
      <c r="AA22" s="64"/>
      <c r="AB22" s="89"/>
      <c r="AC22" s="64"/>
      <c r="AD22" s="64"/>
    </row>
    <row r="23" spans="1:30" ht="19.5" customHeight="1">
      <c r="A23" s="9">
        <v>1</v>
      </c>
      <c r="B23" s="9" t="s">
        <v>46</v>
      </c>
      <c r="C23" s="1"/>
      <c r="D23" s="155"/>
      <c r="E23" s="155"/>
      <c r="F23" s="155"/>
      <c r="G23" s="155"/>
      <c r="H23" s="6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64"/>
      <c r="T23" s="64"/>
      <c r="U23" s="64"/>
      <c r="V23" s="64"/>
      <c r="W23" s="64"/>
      <c r="X23" s="64"/>
      <c r="Y23" s="64"/>
      <c r="Z23" s="64"/>
      <c r="AA23" s="64"/>
      <c r="AB23" s="59"/>
      <c r="AC23" s="64"/>
      <c r="AD23" s="64"/>
    </row>
    <row r="24" spans="1:30" ht="19.5" customHeight="1">
      <c r="A24" s="6"/>
      <c r="B24" s="11" t="s">
        <v>38</v>
      </c>
      <c r="C24" s="7" t="s">
        <v>39</v>
      </c>
      <c r="D24" s="155"/>
      <c r="E24" s="155">
        <v>2.78</v>
      </c>
      <c r="F24" s="155">
        <v>1.94</v>
      </c>
      <c r="G24" s="155">
        <v>3.66</v>
      </c>
      <c r="H24" s="64">
        <v>1.02</v>
      </c>
      <c r="I24" s="155">
        <v>2.546</v>
      </c>
      <c r="J24" s="155"/>
      <c r="K24" s="155"/>
      <c r="L24" s="155">
        <v>6.5</v>
      </c>
      <c r="M24" s="155"/>
      <c r="N24" s="155"/>
      <c r="O24" s="155">
        <v>7</v>
      </c>
      <c r="P24" s="155">
        <v>0</v>
      </c>
      <c r="Q24" s="155"/>
      <c r="R24" s="155"/>
      <c r="S24" s="64"/>
      <c r="T24" s="64"/>
      <c r="U24" s="64"/>
      <c r="V24" s="64"/>
      <c r="W24" s="64"/>
      <c r="X24" s="64">
        <v>12.67</v>
      </c>
      <c r="Y24" s="64">
        <v>4</v>
      </c>
      <c r="Z24" s="64">
        <v>7.51</v>
      </c>
      <c r="AA24" s="64">
        <v>3.67</v>
      </c>
      <c r="AB24" s="59">
        <v>4.9</v>
      </c>
      <c r="AC24" s="64"/>
      <c r="AD24" s="64"/>
    </row>
    <row r="25" spans="1:32" ht="19.5" customHeight="1">
      <c r="A25" s="6"/>
      <c r="B25" s="11" t="s">
        <v>148</v>
      </c>
      <c r="C25" s="7" t="s">
        <v>40</v>
      </c>
      <c r="D25" s="151"/>
      <c r="E25" s="151">
        <v>219000</v>
      </c>
      <c r="F25" s="151">
        <v>353021</v>
      </c>
      <c r="G25" s="151">
        <v>134234</v>
      </c>
      <c r="H25" s="13">
        <v>71035</v>
      </c>
      <c r="I25" s="151">
        <v>103700</v>
      </c>
      <c r="J25" s="151"/>
      <c r="K25" s="151"/>
      <c r="L25" s="151">
        <v>38000</v>
      </c>
      <c r="M25" s="151"/>
      <c r="N25" s="151"/>
      <c r="O25" s="151">
        <v>136763</v>
      </c>
      <c r="P25" s="151">
        <v>0</v>
      </c>
      <c r="Q25" s="151"/>
      <c r="R25" s="151"/>
      <c r="S25" s="13"/>
      <c r="T25" s="13"/>
      <c r="U25" s="13"/>
      <c r="V25" s="13"/>
      <c r="W25" s="13"/>
      <c r="X25" s="13">
        <v>261110</v>
      </c>
      <c r="Y25" s="13">
        <v>150000</v>
      </c>
      <c r="Z25" s="13">
        <v>87734</v>
      </c>
      <c r="AA25" s="13">
        <v>70416</v>
      </c>
      <c r="AB25" s="64">
        <v>360000</v>
      </c>
      <c r="AC25" s="13"/>
      <c r="AD25" s="13"/>
      <c r="AE25" s="497">
        <f aca="true" t="shared" si="2" ref="AE25:AE30">SUM(D25:AD25)</f>
        <v>1985013</v>
      </c>
      <c r="AF25" s="497">
        <f>AE25/13</f>
        <v>152693.3076923077</v>
      </c>
    </row>
    <row r="26" spans="1:32" ht="19.5" customHeight="1">
      <c r="A26" s="6"/>
      <c r="B26" s="11" t="s">
        <v>43</v>
      </c>
      <c r="C26" s="66" t="s">
        <v>41</v>
      </c>
      <c r="D26" s="151"/>
      <c r="E26" s="151">
        <f>E24*E25</f>
        <v>608820</v>
      </c>
      <c r="F26" s="151">
        <f>F25*F24</f>
        <v>684860.74</v>
      </c>
      <c r="G26" s="151">
        <f aca="true" t="shared" si="3" ref="G26:AD26">G25*G24</f>
        <v>491296.44</v>
      </c>
      <c r="H26" s="13">
        <f t="shared" si="3"/>
        <v>72455.7</v>
      </c>
      <c r="I26" s="151">
        <f t="shared" si="3"/>
        <v>264020.19999999995</v>
      </c>
      <c r="J26" s="151">
        <f t="shared" si="3"/>
        <v>0</v>
      </c>
      <c r="K26" s="151">
        <f t="shared" si="3"/>
        <v>0</v>
      </c>
      <c r="L26" s="151">
        <f t="shared" si="3"/>
        <v>247000</v>
      </c>
      <c r="M26" s="151">
        <f t="shared" si="3"/>
        <v>0</v>
      </c>
      <c r="N26" s="151">
        <f t="shared" si="3"/>
        <v>0</v>
      </c>
      <c r="O26" s="151">
        <f>O25*O24</f>
        <v>957341</v>
      </c>
      <c r="P26" s="151">
        <v>0</v>
      </c>
      <c r="Q26" s="151">
        <f t="shared" si="3"/>
        <v>0</v>
      </c>
      <c r="R26" s="151">
        <f t="shared" si="3"/>
        <v>0</v>
      </c>
      <c r="S26" s="13">
        <f t="shared" si="3"/>
        <v>0</v>
      </c>
      <c r="T26" s="13">
        <f t="shared" si="3"/>
        <v>0</v>
      </c>
      <c r="U26" s="13">
        <f t="shared" si="3"/>
        <v>0</v>
      </c>
      <c r="V26" s="13">
        <f t="shared" si="3"/>
        <v>0</v>
      </c>
      <c r="W26" s="13">
        <f t="shared" si="3"/>
        <v>0</v>
      </c>
      <c r="X26" s="13">
        <f t="shared" si="3"/>
        <v>3308263.7</v>
      </c>
      <c r="Y26" s="13">
        <f t="shared" si="3"/>
        <v>600000</v>
      </c>
      <c r="Z26" s="13">
        <f t="shared" si="3"/>
        <v>658882.34</v>
      </c>
      <c r="AA26" s="13">
        <f t="shared" si="3"/>
        <v>258426.72</v>
      </c>
      <c r="AB26" s="64">
        <f>AB25*AB24</f>
        <v>1764000.0000000002</v>
      </c>
      <c r="AC26" s="13">
        <f t="shared" si="3"/>
        <v>0</v>
      </c>
      <c r="AD26" s="13">
        <f t="shared" si="3"/>
        <v>0</v>
      </c>
      <c r="AE26" s="497">
        <f t="shared" si="2"/>
        <v>9915366.84</v>
      </c>
      <c r="AF26" s="61">
        <f>AE26/12</f>
        <v>826280.57</v>
      </c>
    </row>
    <row r="27" spans="1:31" s="5" customFormat="1" ht="19.5" customHeight="1">
      <c r="A27" s="9">
        <v>2</v>
      </c>
      <c r="B27" s="9" t="s">
        <v>44</v>
      </c>
      <c r="C27" s="67"/>
      <c r="D27" s="156"/>
      <c r="E27" s="156"/>
      <c r="F27" s="156"/>
      <c r="G27" s="156"/>
      <c r="H27" s="65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65"/>
      <c r="T27" s="65"/>
      <c r="U27" s="65"/>
      <c r="V27" s="65"/>
      <c r="W27" s="65"/>
      <c r="X27" s="65"/>
      <c r="Y27" s="65"/>
      <c r="Z27" s="65"/>
      <c r="AA27" s="65"/>
      <c r="AB27" s="13"/>
      <c r="AC27" s="65"/>
      <c r="AD27" s="65"/>
      <c r="AE27" s="497">
        <f t="shared" si="2"/>
        <v>0</v>
      </c>
    </row>
    <row r="28" spans="1:31" ht="19.5" customHeight="1">
      <c r="A28" s="6"/>
      <c r="B28" s="11" t="s">
        <v>38</v>
      </c>
      <c r="C28" s="66" t="s">
        <v>39</v>
      </c>
      <c r="D28" s="155"/>
      <c r="E28" s="155"/>
      <c r="F28" s="155">
        <v>7.29</v>
      </c>
      <c r="G28" s="155">
        <v>31.355</v>
      </c>
      <c r="H28" s="64">
        <v>7.9</v>
      </c>
      <c r="I28" s="155"/>
      <c r="J28" s="155">
        <v>3.3</v>
      </c>
      <c r="K28" s="155"/>
      <c r="L28" s="155"/>
      <c r="M28" s="155"/>
      <c r="N28" s="155"/>
      <c r="O28" s="155"/>
      <c r="P28" s="155">
        <v>30</v>
      </c>
      <c r="Q28" s="155"/>
      <c r="R28" s="155"/>
      <c r="S28" s="64">
        <v>11.08</v>
      </c>
      <c r="T28" s="64"/>
      <c r="U28" s="64"/>
      <c r="V28" s="64"/>
      <c r="W28" s="64"/>
      <c r="X28" s="64">
        <v>25.64</v>
      </c>
      <c r="Y28" s="64">
        <v>25.12</v>
      </c>
      <c r="Z28" s="64">
        <v>28.43</v>
      </c>
      <c r="AA28" s="64">
        <v>21</v>
      </c>
      <c r="AB28" s="13">
        <v>23.3</v>
      </c>
      <c r="AC28" s="64">
        <v>40</v>
      </c>
      <c r="AD28" s="64"/>
      <c r="AE28" s="497">
        <f t="shared" si="2"/>
        <v>254.41500000000002</v>
      </c>
    </row>
    <row r="29" spans="1:32" ht="19.5" customHeight="1">
      <c r="A29" s="6"/>
      <c r="B29" s="11" t="s">
        <v>149</v>
      </c>
      <c r="C29" s="66" t="s">
        <v>40</v>
      </c>
      <c r="D29" s="151"/>
      <c r="E29" s="151"/>
      <c r="F29" s="151">
        <v>333662</v>
      </c>
      <c r="G29" s="151">
        <v>120811</v>
      </c>
      <c r="H29" s="13">
        <v>71035</v>
      </c>
      <c r="I29" s="151"/>
      <c r="J29" s="151">
        <v>114000</v>
      </c>
      <c r="K29" s="151"/>
      <c r="L29" s="151"/>
      <c r="M29" s="151"/>
      <c r="N29" s="151"/>
      <c r="O29" s="151"/>
      <c r="P29" s="151">
        <v>96593</v>
      </c>
      <c r="Q29" s="151"/>
      <c r="R29" s="151"/>
      <c r="S29" s="13">
        <v>183405</v>
      </c>
      <c r="T29" s="13"/>
      <c r="U29" s="13"/>
      <c r="V29" s="13"/>
      <c r="W29" s="13"/>
      <c r="X29" s="13">
        <v>223606</v>
      </c>
      <c r="Y29" s="13">
        <v>135000</v>
      </c>
      <c r="Z29" s="13">
        <v>65543</v>
      </c>
      <c r="AA29" s="13">
        <v>220829</v>
      </c>
      <c r="AB29" s="89">
        <v>360000</v>
      </c>
      <c r="AC29" s="13">
        <v>180000</v>
      </c>
      <c r="AD29" s="13"/>
      <c r="AE29" s="497">
        <f t="shared" si="2"/>
        <v>2104484</v>
      </c>
      <c r="AF29" s="61">
        <f>AE29/12</f>
        <v>175373.66666666666</v>
      </c>
    </row>
    <row r="30" spans="1:32" ht="19.5" customHeight="1">
      <c r="A30" s="6"/>
      <c r="B30" s="11" t="s">
        <v>43</v>
      </c>
      <c r="C30" s="66" t="s">
        <v>41</v>
      </c>
      <c r="D30" s="151"/>
      <c r="E30" s="151"/>
      <c r="F30" s="151">
        <f>F28*F29</f>
        <v>2432395.98</v>
      </c>
      <c r="G30" s="151">
        <f aca="true" t="shared" si="4" ref="G30:AD30">G28*G29</f>
        <v>3788028.9050000003</v>
      </c>
      <c r="H30" s="13">
        <f t="shared" si="4"/>
        <v>561176.5</v>
      </c>
      <c r="I30" s="151">
        <f t="shared" si="4"/>
        <v>0</v>
      </c>
      <c r="J30" s="151">
        <f t="shared" si="4"/>
        <v>376200</v>
      </c>
      <c r="K30" s="151">
        <f t="shared" si="4"/>
        <v>0</v>
      </c>
      <c r="L30" s="151">
        <f t="shared" si="4"/>
        <v>0</v>
      </c>
      <c r="M30" s="151">
        <f t="shared" si="4"/>
        <v>0</v>
      </c>
      <c r="N30" s="151">
        <f t="shared" si="4"/>
        <v>0</v>
      </c>
      <c r="O30" s="151">
        <f t="shared" si="4"/>
        <v>0</v>
      </c>
      <c r="P30" s="151">
        <f t="shared" si="4"/>
        <v>2897790</v>
      </c>
      <c r="Q30" s="151">
        <f t="shared" si="4"/>
        <v>0</v>
      </c>
      <c r="R30" s="151">
        <f t="shared" si="4"/>
        <v>0</v>
      </c>
      <c r="S30" s="13">
        <f t="shared" si="4"/>
        <v>2032127.4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5733257.84</v>
      </c>
      <c r="Y30" s="13">
        <f t="shared" si="4"/>
        <v>3391200</v>
      </c>
      <c r="Z30" s="13">
        <f t="shared" si="4"/>
        <v>1863387.49</v>
      </c>
      <c r="AA30" s="13">
        <f t="shared" si="4"/>
        <v>4637409</v>
      </c>
      <c r="AB30" s="59">
        <f>AB28*AB29</f>
        <v>8388000</v>
      </c>
      <c r="AC30" s="13">
        <f t="shared" si="4"/>
        <v>7200000</v>
      </c>
      <c r="AD30" s="13">
        <f t="shared" si="4"/>
        <v>0</v>
      </c>
      <c r="AE30" s="497">
        <f t="shared" si="2"/>
        <v>43300973.114999995</v>
      </c>
      <c r="AF30" s="61">
        <f>AE30/12</f>
        <v>3608414.4262499996</v>
      </c>
    </row>
    <row r="31" spans="1:28" ht="12.75">
      <c r="A31" s="8" t="s">
        <v>45</v>
      </c>
      <c r="B31" s="8"/>
      <c r="C31" s="8"/>
      <c r="AB31" s="662"/>
    </row>
    <row r="32" ht="12.75">
      <c r="B32" s="8"/>
    </row>
    <row r="33" ht="12.75">
      <c r="B33" s="8"/>
    </row>
    <row r="34" ht="12.75">
      <c r="B34" s="8"/>
    </row>
  </sheetData>
  <sheetProtection/>
  <mergeCells count="9">
    <mergeCell ref="A2:A3"/>
    <mergeCell ref="O2:R2"/>
    <mergeCell ref="S2:W2"/>
    <mergeCell ref="X2:AB2"/>
    <mergeCell ref="AC2:AD2"/>
    <mergeCell ref="C2:C3"/>
    <mergeCell ref="D2:G2"/>
    <mergeCell ref="H2:N2"/>
    <mergeCell ref="B2:B3"/>
  </mergeCells>
  <printOptions horizontalCentered="1"/>
  <pageMargins left="0.2" right="0.2" top="0.75" bottom="0.2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55"/>
  <sheetViews>
    <sheetView zoomScalePageLayoutView="0" workbookViewId="0" topLeftCell="A4">
      <pane xSplit="2" ySplit="1" topLeftCell="C38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14" sqref="C14"/>
    </sheetView>
  </sheetViews>
  <sheetFormatPr defaultColWidth="22.00390625" defaultRowHeight="15"/>
  <cols>
    <col min="1" max="1" width="4.57421875" style="129" customWidth="1"/>
    <col min="2" max="2" width="11.8515625" style="129" customWidth="1"/>
    <col min="3" max="3" width="22.28125" style="129" customWidth="1"/>
    <col min="4" max="4" width="12.421875" style="129" hidden="1" customWidth="1"/>
    <col min="5" max="5" width="11.28125" style="129" customWidth="1"/>
    <col min="6" max="6" width="10.00390625" style="129" customWidth="1"/>
    <col min="7" max="7" width="14.7109375" style="129" hidden="1" customWidth="1"/>
    <col min="8" max="8" width="9.7109375" style="129" customWidth="1"/>
    <col min="9" max="9" width="6.421875" style="129" customWidth="1"/>
    <col min="10" max="10" width="10.140625" style="129" customWidth="1"/>
    <col min="11" max="11" width="5.00390625" style="129" customWidth="1"/>
    <col min="12" max="12" width="9.8515625" style="129" customWidth="1"/>
    <col min="13" max="13" width="5.57421875" style="129" customWidth="1"/>
    <col min="14" max="14" width="9.421875" style="129" customWidth="1"/>
    <col min="15" max="15" width="6.00390625" style="129" customWidth="1"/>
    <col min="16" max="16" width="5.8515625" style="129" customWidth="1"/>
    <col min="17" max="17" width="4.8515625" style="129" customWidth="1"/>
    <col min="18" max="18" width="6.7109375" style="129" customWidth="1"/>
    <col min="19" max="19" width="8.140625" style="129" hidden="1" customWidth="1"/>
    <col min="20" max="20" width="7.8515625" style="129" hidden="1" customWidth="1"/>
    <col min="21" max="254" width="9.140625" style="129" customWidth="1"/>
    <col min="255" max="255" width="7.140625" style="129" customWidth="1"/>
    <col min="256" max="16384" width="22.00390625" style="129" customWidth="1"/>
  </cols>
  <sheetData>
    <row r="1" spans="1:18" ht="22.5" customHeight="1">
      <c r="A1" s="913" t="s">
        <v>169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</row>
    <row r="2" spans="7:18" ht="15.75" customHeight="1"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20" ht="29.25" customHeight="1">
      <c r="A3" s="893" t="s">
        <v>0</v>
      </c>
      <c r="B3" s="912" t="s">
        <v>184</v>
      </c>
      <c r="C3" s="893" t="s">
        <v>183</v>
      </c>
      <c r="D3" s="912" t="s">
        <v>182</v>
      </c>
      <c r="E3" s="893" t="s">
        <v>181</v>
      </c>
      <c r="F3" s="912" t="s">
        <v>180</v>
      </c>
      <c r="G3" s="893" t="s">
        <v>170</v>
      </c>
      <c r="H3" s="912" t="s">
        <v>171</v>
      </c>
      <c r="I3" s="912" t="s">
        <v>95</v>
      </c>
      <c r="J3" s="912"/>
      <c r="K3" s="912"/>
      <c r="L3" s="912"/>
      <c r="M3" s="374"/>
      <c r="N3" s="374"/>
      <c r="O3" s="912" t="s">
        <v>172</v>
      </c>
      <c r="P3" s="912"/>
      <c r="Q3" s="912"/>
      <c r="R3" s="912"/>
      <c r="S3" s="912" t="s">
        <v>204</v>
      </c>
      <c r="T3" s="912" t="s">
        <v>205</v>
      </c>
    </row>
    <row r="4" spans="1:20" ht="64.5" customHeight="1">
      <c r="A4" s="894"/>
      <c r="B4" s="912"/>
      <c r="C4" s="894"/>
      <c r="D4" s="912"/>
      <c r="E4" s="894"/>
      <c r="F4" s="912"/>
      <c r="G4" s="894"/>
      <c r="H4" s="912"/>
      <c r="I4" s="308" t="s">
        <v>173</v>
      </c>
      <c r="J4" s="325" t="s">
        <v>174</v>
      </c>
      <c r="K4" s="325" t="s">
        <v>175</v>
      </c>
      <c r="L4" s="325" t="s">
        <v>174</v>
      </c>
      <c r="M4" s="325" t="s">
        <v>255</v>
      </c>
      <c r="N4" s="325" t="s">
        <v>314</v>
      </c>
      <c r="O4" s="308" t="s">
        <v>176</v>
      </c>
      <c r="P4" s="325" t="s">
        <v>177</v>
      </c>
      <c r="Q4" s="325" t="s">
        <v>178</v>
      </c>
      <c r="R4" s="325" t="s">
        <v>179</v>
      </c>
      <c r="S4" s="912"/>
      <c r="T4" s="912"/>
    </row>
    <row r="5" spans="1:42" s="132" customFormat="1" ht="17.25" customHeight="1">
      <c r="A5" s="326" t="s">
        <v>105</v>
      </c>
      <c r="B5" s="327" t="s">
        <v>61</v>
      </c>
      <c r="G5" s="328"/>
      <c r="H5" s="329"/>
      <c r="I5" s="329"/>
      <c r="J5" s="323"/>
      <c r="K5" s="323"/>
      <c r="L5" s="323"/>
      <c r="M5" s="323"/>
      <c r="N5" s="323"/>
      <c r="O5" s="323"/>
      <c r="P5" s="323"/>
      <c r="Q5" s="323"/>
      <c r="R5" s="323"/>
      <c r="T5" s="360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</row>
    <row r="6" spans="1:42" s="126" customFormat="1" ht="27" customHeight="1">
      <c r="A6" s="125">
        <v>1</v>
      </c>
      <c r="B6" s="126" t="s">
        <v>68</v>
      </c>
      <c r="C6" s="126" t="s">
        <v>226</v>
      </c>
      <c r="D6" s="126" t="s">
        <v>202</v>
      </c>
      <c r="E6" s="126" t="s">
        <v>203</v>
      </c>
      <c r="G6" s="126" t="s">
        <v>308</v>
      </c>
      <c r="H6" s="126">
        <v>59</v>
      </c>
      <c r="I6" s="126">
        <v>59</v>
      </c>
      <c r="J6" s="383" t="s">
        <v>319</v>
      </c>
      <c r="O6" s="126">
        <v>10</v>
      </c>
      <c r="P6" s="126">
        <v>7</v>
      </c>
      <c r="Q6" s="126">
        <v>40</v>
      </c>
      <c r="R6" s="126">
        <v>2</v>
      </c>
      <c r="S6" s="126">
        <v>3</v>
      </c>
      <c r="T6" s="361">
        <v>11</v>
      </c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</row>
    <row r="7" spans="1:42" s="128" customFormat="1" ht="24.75" customHeight="1">
      <c r="A7" s="127">
        <f>A6+1</f>
        <v>2</v>
      </c>
      <c r="B7" s="128" t="s">
        <v>106</v>
      </c>
      <c r="C7" s="128" t="s">
        <v>227</v>
      </c>
      <c r="D7" s="128" t="s">
        <v>202</v>
      </c>
      <c r="E7" s="128" t="s">
        <v>203</v>
      </c>
      <c r="G7" s="355" t="s">
        <v>302</v>
      </c>
      <c r="H7" s="330">
        <v>7</v>
      </c>
      <c r="I7" s="330">
        <v>5</v>
      </c>
      <c r="J7" s="383" t="s">
        <v>319</v>
      </c>
      <c r="K7" s="331">
        <v>2</v>
      </c>
      <c r="L7" s="383" t="s">
        <v>319</v>
      </c>
      <c r="M7" s="383"/>
      <c r="N7" s="383"/>
      <c r="O7" s="331"/>
      <c r="P7" s="331">
        <v>2</v>
      </c>
      <c r="Q7" s="331">
        <v>4</v>
      </c>
      <c r="R7" s="331"/>
      <c r="T7" s="358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</row>
    <row r="8" spans="1:42" s="128" customFormat="1" ht="26.25" customHeight="1">
      <c r="A8" s="127">
        <f>A7+1</f>
        <v>3</v>
      </c>
      <c r="B8" s="128" t="s">
        <v>67</v>
      </c>
      <c r="C8" s="128" t="s">
        <v>253</v>
      </c>
      <c r="D8" s="128" t="s">
        <v>202</v>
      </c>
      <c r="E8" s="128" t="s">
        <v>203</v>
      </c>
      <c r="G8" s="335" t="s">
        <v>308</v>
      </c>
      <c r="H8" s="128">
        <v>16</v>
      </c>
      <c r="I8" s="128">
        <v>4</v>
      </c>
      <c r="J8" s="383" t="s">
        <v>319</v>
      </c>
      <c r="K8" s="128">
        <v>12</v>
      </c>
      <c r="L8" s="383" t="s">
        <v>319</v>
      </c>
      <c r="M8" s="383"/>
      <c r="N8" s="383"/>
      <c r="O8" s="128">
        <v>1</v>
      </c>
      <c r="P8" s="128">
        <v>2</v>
      </c>
      <c r="R8" s="128">
        <v>13</v>
      </c>
      <c r="T8" s="358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</row>
    <row r="9" spans="1:42" s="131" customFormat="1" ht="29.25" customHeight="1">
      <c r="A9" s="130">
        <f>A8+1</f>
        <v>4</v>
      </c>
      <c r="B9" s="131" t="s">
        <v>70</v>
      </c>
      <c r="C9" s="131" t="s">
        <v>254</v>
      </c>
      <c r="D9" s="131" t="s">
        <v>258</v>
      </c>
      <c r="E9" s="131" t="s">
        <v>255</v>
      </c>
      <c r="F9" s="131" t="s">
        <v>256</v>
      </c>
      <c r="G9" s="341" t="s">
        <v>308</v>
      </c>
      <c r="H9" s="366">
        <v>10</v>
      </c>
      <c r="I9" s="366"/>
      <c r="J9" s="384"/>
      <c r="K9" s="366">
        <v>5</v>
      </c>
      <c r="L9" s="383" t="s">
        <v>319</v>
      </c>
      <c r="M9" s="366">
        <v>5</v>
      </c>
      <c r="N9" s="383" t="s">
        <v>323</v>
      </c>
      <c r="O9" s="366">
        <v>1</v>
      </c>
      <c r="P9" s="366">
        <v>0</v>
      </c>
      <c r="Q9" s="366">
        <v>7</v>
      </c>
      <c r="R9" s="366">
        <v>2</v>
      </c>
      <c r="S9" s="367"/>
      <c r="T9" s="368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</row>
    <row r="10" spans="1:42" s="132" customFormat="1" ht="20.25" customHeight="1">
      <c r="A10" s="322" t="s">
        <v>107</v>
      </c>
      <c r="B10" s="323" t="s">
        <v>62</v>
      </c>
      <c r="G10" s="342"/>
      <c r="T10" s="360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</row>
    <row r="11" spans="1:42" s="126" customFormat="1" ht="27" customHeight="1">
      <c r="A11" s="125">
        <v>5</v>
      </c>
      <c r="B11" s="126" t="s">
        <v>71</v>
      </c>
      <c r="C11" s="126" t="s">
        <v>315</v>
      </c>
      <c r="D11" s="128" t="s">
        <v>202</v>
      </c>
      <c r="E11" s="131" t="s">
        <v>255</v>
      </c>
      <c r="F11" s="128" t="s">
        <v>256</v>
      </c>
      <c r="G11" s="334" t="s">
        <v>309</v>
      </c>
      <c r="H11" s="126">
        <v>17</v>
      </c>
      <c r="I11" s="126">
        <v>0</v>
      </c>
      <c r="K11" s="126">
        <v>0</v>
      </c>
      <c r="L11" s="383"/>
      <c r="M11" s="383">
        <v>17</v>
      </c>
      <c r="N11" s="385" t="s">
        <v>323</v>
      </c>
      <c r="O11" s="126">
        <v>0</v>
      </c>
      <c r="Q11" s="126">
        <v>12</v>
      </c>
      <c r="R11" s="126">
        <v>5</v>
      </c>
      <c r="S11" s="126">
        <v>0</v>
      </c>
      <c r="T11" s="361">
        <v>0</v>
      </c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</row>
    <row r="12" spans="1:42" s="128" customFormat="1" ht="25.5" customHeight="1">
      <c r="A12" s="127">
        <f>A11+1</f>
        <v>6</v>
      </c>
      <c r="B12" s="128" t="s">
        <v>72</v>
      </c>
      <c r="C12" s="128" t="s">
        <v>257</v>
      </c>
      <c r="D12" s="128" t="s">
        <v>258</v>
      </c>
      <c r="E12" s="128" t="s">
        <v>203</v>
      </c>
      <c r="G12" s="335" t="s">
        <v>308</v>
      </c>
      <c r="H12" s="128">
        <v>18</v>
      </c>
      <c r="I12" s="128">
        <v>15</v>
      </c>
      <c r="J12" s="383" t="s">
        <v>319</v>
      </c>
      <c r="K12" s="128">
        <v>3</v>
      </c>
      <c r="L12" s="383" t="s">
        <v>319</v>
      </c>
      <c r="M12" s="383"/>
      <c r="N12" s="383"/>
      <c r="O12" s="128">
        <v>2</v>
      </c>
      <c r="Q12" s="128">
        <v>15</v>
      </c>
      <c r="R12" s="128">
        <v>1</v>
      </c>
      <c r="S12" s="128">
        <v>7</v>
      </c>
      <c r="T12" s="358"/>
      <c r="U12" s="324" t="s">
        <v>260</v>
      </c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</row>
    <row r="13" spans="1:42" s="128" customFormat="1" ht="21.75" customHeight="1">
      <c r="A13" s="127">
        <f>A12+1</f>
        <v>7</v>
      </c>
      <c r="B13" s="128" t="s">
        <v>108</v>
      </c>
      <c r="C13" s="128" t="s">
        <v>259</v>
      </c>
      <c r="D13" s="128" t="s">
        <v>202</v>
      </c>
      <c r="E13" s="128" t="s">
        <v>255</v>
      </c>
      <c r="F13" s="128" t="s">
        <v>256</v>
      </c>
      <c r="G13" s="335"/>
      <c r="T13" s="358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</row>
    <row r="14" spans="1:42" s="128" customFormat="1" ht="29.25" customHeight="1">
      <c r="A14" s="127">
        <f>A13+1</f>
        <v>8</v>
      </c>
      <c r="B14" s="128" t="s">
        <v>73</v>
      </c>
      <c r="C14" s="128" t="s">
        <v>261</v>
      </c>
      <c r="D14" s="128" t="s">
        <v>202</v>
      </c>
      <c r="E14" s="128" t="s">
        <v>203</v>
      </c>
      <c r="G14" s="355" t="s">
        <v>302</v>
      </c>
      <c r="H14" s="369">
        <v>11</v>
      </c>
      <c r="I14" s="370" t="s">
        <v>310</v>
      </c>
      <c r="J14" s="383" t="s">
        <v>319</v>
      </c>
      <c r="K14" s="372" t="s">
        <v>311</v>
      </c>
      <c r="L14" s="383" t="s">
        <v>319</v>
      </c>
      <c r="M14" s="383"/>
      <c r="N14" s="383"/>
      <c r="O14" s="372" t="s">
        <v>310</v>
      </c>
      <c r="P14" s="372" t="s">
        <v>303</v>
      </c>
      <c r="Q14" s="372" t="s">
        <v>312</v>
      </c>
      <c r="R14" s="372" t="s">
        <v>303</v>
      </c>
      <c r="S14" s="371"/>
      <c r="T14" s="373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</row>
    <row r="15" spans="1:42" s="128" customFormat="1" ht="20.25" customHeight="1">
      <c r="A15" s="127">
        <f>A14+1</f>
        <v>9</v>
      </c>
      <c r="B15" s="128" t="s">
        <v>75</v>
      </c>
      <c r="C15" s="128" t="s">
        <v>262</v>
      </c>
      <c r="D15" s="128" t="s">
        <v>202</v>
      </c>
      <c r="E15" s="128" t="s">
        <v>255</v>
      </c>
      <c r="F15" s="128" t="s">
        <v>256</v>
      </c>
      <c r="G15" s="335" t="s">
        <v>309</v>
      </c>
      <c r="H15" s="128">
        <v>10</v>
      </c>
      <c r="M15" s="128">
        <v>10</v>
      </c>
      <c r="N15" s="128" t="s">
        <v>301</v>
      </c>
      <c r="Q15" s="128">
        <v>10</v>
      </c>
      <c r="T15" s="358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</row>
    <row r="16" spans="1:42" s="128" customFormat="1" ht="21" customHeight="1">
      <c r="A16" s="127">
        <f>A15+1</f>
        <v>10</v>
      </c>
      <c r="B16" s="128" t="s">
        <v>109</v>
      </c>
      <c r="C16" s="128" t="s">
        <v>263</v>
      </c>
      <c r="D16" s="128" t="s">
        <v>202</v>
      </c>
      <c r="E16" s="128" t="s">
        <v>255</v>
      </c>
      <c r="F16" s="128" t="s">
        <v>256</v>
      </c>
      <c r="T16" s="358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</row>
    <row r="17" spans="1:42" s="128" customFormat="1" ht="21" customHeight="1">
      <c r="A17" s="127">
        <v>11</v>
      </c>
      <c r="B17" s="128" t="s">
        <v>190</v>
      </c>
      <c r="T17" s="358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</row>
    <row r="18" spans="1:42" s="128" customFormat="1" ht="21.75" customHeight="1">
      <c r="A18" s="127">
        <v>12</v>
      </c>
      <c r="B18" s="128" t="s">
        <v>77</v>
      </c>
      <c r="E18" s="128" t="s">
        <v>255</v>
      </c>
      <c r="F18" s="128" t="s">
        <v>256</v>
      </c>
      <c r="T18" s="358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</row>
    <row r="19" spans="1:42" s="131" customFormat="1" ht="21.75" customHeight="1">
      <c r="A19" s="130">
        <v>13</v>
      </c>
      <c r="B19" s="131" t="s">
        <v>194</v>
      </c>
      <c r="T19" s="359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</row>
    <row r="20" spans="1:42" s="132" customFormat="1" ht="12.75">
      <c r="A20" s="322" t="s">
        <v>110</v>
      </c>
      <c r="B20" s="323" t="s">
        <v>63</v>
      </c>
      <c r="T20" s="360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</row>
    <row r="21" spans="1:42" s="126" customFormat="1" ht="24" customHeight="1">
      <c r="A21" s="125">
        <v>14</v>
      </c>
      <c r="B21" s="126" t="s">
        <v>78</v>
      </c>
      <c r="C21" s="126" t="s">
        <v>267</v>
      </c>
      <c r="D21" s="126" t="s">
        <v>202</v>
      </c>
      <c r="E21" s="126" t="s">
        <v>203</v>
      </c>
      <c r="G21" s="335" t="s">
        <v>309</v>
      </c>
      <c r="H21" s="334">
        <v>10</v>
      </c>
      <c r="I21" s="334">
        <v>4</v>
      </c>
      <c r="J21" s="334" t="s">
        <v>301</v>
      </c>
      <c r="K21" s="334">
        <v>6</v>
      </c>
      <c r="L21" s="383" t="s">
        <v>319</v>
      </c>
      <c r="M21" s="383"/>
      <c r="N21" s="383"/>
      <c r="O21" s="334">
        <v>2</v>
      </c>
      <c r="P21" s="334"/>
      <c r="Q21" s="334">
        <v>2</v>
      </c>
      <c r="R21" s="334">
        <v>6</v>
      </c>
      <c r="S21" s="334"/>
      <c r="T21" s="361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</row>
    <row r="22" spans="1:42" s="128" customFormat="1" ht="27.75" customHeight="1">
      <c r="A22" s="127">
        <v>15</v>
      </c>
      <c r="B22" s="128" t="s">
        <v>79</v>
      </c>
      <c r="C22" s="128" t="s">
        <v>264</v>
      </c>
      <c r="D22" s="128" t="s">
        <v>202</v>
      </c>
      <c r="E22" s="128" t="s">
        <v>203</v>
      </c>
      <c r="G22" s="335" t="s">
        <v>309</v>
      </c>
      <c r="H22" s="336">
        <v>18</v>
      </c>
      <c r="I22" s="336">
        <v>8</v>
      </c>
      <c r="J22" s="335" t="s">
        <v>301</v>
      </c>
      <c r="K22" s="337">
        <v>10</v>
      </c>
      <c r="L22" s="383" t="s">
        <v>319</v>
      </c>
      <c r="M22" s="383"/>
      <c r="N22" s="383"/>
      <c r="O22" s="337">
        <v>0</v>
      </c>
      <c r="P22" s="337">
        <v>0</v>
      </c>
      <c r="Q22" s="337">
        <v>17</v>
      </c>
      <c r="R22" s="337">
        <v>1</v>
      </c>
      <c r="S22" s="337"/>
      <c r="T22" s="358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</row>
    <row r="23" spans="1:42" s="128" customFormat="1" ht="24.75" customHeight="1">
      <c r="A23" s="127">
        <v>16</v>
      </c>
      <c r="B23" s="128" t="s">
        <v>111</v>
      </c>
      <c r="C23" s="128" t="s">
        <v>265</v>
      </c>
      <c r="D23" s="128" t="s">
        <v>258</v>
      </c>
      <c r="E23" s="128" t="s">
        <v>255</v>
      </c>
      <c r="F23" s="128" t="s">
        <v>256</v>
      </c>
      <c r="G23" s="335" t="s">
        <v>309</v>
      </c>
      <c r="H23" s="334">
        <v>4</v>
      </c>
      <c r="I23" s="334"/>
      <c r="J23" s="383"/>
      <c r="K23" s="337"/>
      <c r="L23" s="337"/>
      <c r="M23" s="337">
        <v>4</v>
      </c>
      <c r="N23" s="385" t="s">
        <v>323</v>
      </c>
      <c r="O23" s="337"/>
      <c r="P23" s="337"/>
      <c r="Q23" s="337">
        <v>3</v>
      </c>
      <c r="R23" s="337">
        <v>1</v>
      </c>
      <c r="S23" s="337"/>
      <c r="T23" s="358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</row>
    <row r="24" spans="1:42" s="128" customFormat="1" ht="25.5" customHeight="1">
      <c r="A24" s="127">
        <v>17</v>
      </c>
      <c r="B24" s="128" t="s">
        <v>112</v>
      </c>
      <c r="C24" s="128" t="s">
        <v>266</v>
      </c>
      <c r="D24" s="128" t="s">
        <v>202</v>
      </c>
      <c r="E24" s="128" t="s">
        <v>255</v>
      </c>
      <c r="G24" s="335" t="s">
        <v>309</v>
      </c>
      <c r="H24" s="338">
        <v>17</v>
      </c>
      <c r="I24" s="338"/>
      <c r="J24" s="335"/>
      <c r="K24" s="339">
        <v>1</v>
      </c>
      <c r="L24" s="383" t="s">
        <v>319</v>
      </c>
      <c r="M24" s="383">
        <v>16</v>
      </c>
      <c r="N24" s="335" t="s">
        <v>301</v>
      </c>
      <c r="O24" s="338"/>
      <c r="P24" s="335"/>
      <c r="Q24" s="335">
        <v>13</v>
      </c>
      <c r="R24" s="335">
        <v>4</v>
      </c>
      <c r="S24" s="335"/>
      <c r="T24" s="358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</row>
    <row r="25" spans="1:42" s="131" customFormat="1" ht="30" customHeight="1">
      <c r="A25" s="130">
        <v>18</v>
      </c>
      <c r="B25" s="131" t="s">
        <v>81</v>
      </c>
      <c r="C25" s="131" t="s">
        <v>269</v>
      </c>
      <c r="D25" s="131" t="s">
        <v>258</v>
      </c>
      <c r="E25" s="131" t="s">
        <v>255</v>
      </c>
      <c r="G25" s="340" t="s">
        <v>302</v>
      </c>
      <c r="H25" s="340">
        <v>12</v>
      </c>
      <c r="I25" s="340"/>
      <c r="J25" s="341"/>
      <c r="K25" s="340">
        <v>3</v>
      </c>
      <c r="L25" s="383" t="s">
        <v>319</v>
      </c>
      <c r="M25" s="385">
        <v>9</v>
      </c>
      <c r="N25" s="385" t="s">
        <v>323</v>
      </c>
      <c r="O25" s="340">
        <v>1</v>
      </c>
      <c r="P25" s="340"/>
      <c r="Q25" s="340">
        <v>9</v>
      </c>
      <c r="R25" s="340">
        <v>2</v>
      </c>
      <c r="S25" s="341"/>
      <c r="T25" s="359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</row>
    <row r="26" spans="1:42" s="132" customFormat="1" ht="16.5" customHeight="1">
      <c r="A26" s="322" t="s">
        <v>113</v>
      </c>
      <c r="B26" s="323" t="s">
        <v>64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60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</row>
    <row r="27" spans="1:42" s="126" customFormat="1" ht="24.75" customHeight="1">
      <c r="A27" s="125">
        <v>19</v>
      </c>
      <c r="B27" s="126" t="s">
        <v>114</v>
      </c>
      <c r="C27" s="126" t="s">
        <v>270</v>
      </c>
      <c r="D27" s="126" t="s">
        <v>258</v>
      </c>
      <c r="E27" s="126" t="s">
        <v>203</v>
      </c>
      <c r="G27" s="343" t="s">
        <v>308</v>
      </c>
      <c r="H27" s="343">
        <v>13</v>
      </c>
      <c r="I27" s="344" t="s">
        <v>311</v>
      </c>
      <c r="J27" s="383" t="s">
        <v>319</v>
      </c>
      <c r="K27" s="344" t="s">
        <v>313</v>
      </c>
      <c r="L27" s="383" t="s">
        <v>319</v>
      </c>
      <c r="M27" s="385"/>
      <c r="N27" s="383"/>
      <c r="O27" s="345" t="s">
        <v>303</v>
      </c>
      <c r="P27" s="346">
        <v>0</v>
      </c>
      <c r="Q27" s="346">
        <v>10</v>
      </c>
      <c r="R27" s="346">
        <v>0</v>
      </c>
      <c r="S27" s="334">
        <v>2</v>
      </c>
      <c r="T27" s="361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</row>
    <row r="28" spans="1:42" s="128" customFormat="1" ht="27.75" customHeight="1">
      <c r="A28" s="127">
        <f aca="true" t="shared" si="0" ref="A28:A33">A27+1</f>
        <v>20</v>
      </c>
      <c r="B28" s="128" t="s">
        <v>115</v>
      </c>
      <c r="C28" s="128" t="s">
        <v>273</v>
      </c>
      <c r="D28" s="128" t="s">
        <v>202</v>
      </c>
      <c r="E28" s="128" t="s">
        <v>255</v>
      </c>
      <c r="F28" s="128" t="s">
        <v>256</v>
      </c>
      <c r="G28" s="347" t="s">
        <v>307</v>
      </c>
      <c r="H28" s="335">
        <v>6</v>
      </c>
      <c r="I28" s="335"/>
      <c r="J28" s="335"/>
      <c r="K28" s="335">
        <v>4</v>
      </c>
      <c r="L28" s="335" t="s">
        <v>301</v>
      </c>
      <c r="M28" s="385">
        <v>2</v>
      </c>
      <c r="N28" s="335" t="s">
        <v>301</v>
      </c>
      <c r="O28" s="335"/>
      <c r="P28" s="335">
        <v>2</v>
      </c>
      <c r="Q28" s="335">
        <v>4</v>
      </c>
      <c r="R28" s="335"/>
      <c r="S28" s="335"/>
      <c r="T28" s="358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</row>
    <row r="29" spans="1:42" s="128" customFormat="1" ht="21.75" customHeight="1">
      <c r="A29" s="127">
        <f t="shared" si="0"/>
        <v>21</v>
      </c>
      <c r="B29" s="128" t="s">
        <v>116</v>
      </c>
      <c r="C29" s="128" t="s">
        <v>271</v>
      </c>
      <c r="D29" s="128" t="s">
        <v>202</v>
      </c>
      <c r="G29" s="335"/>
      <c r="H29" s="335"/>
      <c r="I29" s="335"/>
      <c r="J29" s="335"/>
      <c r="K29" s="335"/>
      <c r="L29" s="335"/>
      <c r="M29" s="385"/>
      <c r="N29" s="335"/>
      <c r="O29" s="335"/>
      <c r="P29" s="335"/>
      <c r="Q29" s="335"/>
      <c r="R29" s="335"/>
      <c r="S29" s="335"/>
      <c r="T29" s="358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</row>
    <row r="30" spans="1:42" s="128" customFormat="1" ht="37.5" customHeight="1">
      <c r="A30" s="127">
        <f t="shared" si="0"/>
        <v>22</v>
      </c>
      <c r="B30" s="128" t="s">
        <v>84</v>
      </c>
      <c r="C30" s="128" t="s">
        <v>350</v>
      </c>
      <c r="D30" s="128" t="s">
        <v>202</v>
      </c>
      <c r="E30" s="128" t="s">
        <v>351</v>
      </c>
      <c r="G30" s="335" t="s">
        <v>309</v>
      </c>
      <c r="H30" s="335">
        <v>6</v>
      </c>
      <c r="I30" s="335">
        <v>2</v>
      </c>
      <c r="J30" s="347" t="s">
        <v>324</v>
      </c>
      <c r="K30" s="335">
        <v>4</v>
      </c>
      <c r="L30" s="347" t="s">
        <v>324</v>
      </c>
      <c r="M30" s="385"/>
      <c r="N30" s="383"/>
      <c r="O30" s="335"/>
      <c r="P30" s="335"/>
      <c r="Q30" s="335"/>
      <c r="R30" s="335">
        <v>5</v>
      </c>
      <c r="S30" s="335"/>
      <c r="T30" s="358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</row>
    <row r="31" spans="1:42" s="128" customFormat="1" ht="20.25" customHeight="1">
      <c r="A31" s="127">
        <f t="shared" si="0"/>
        <v>23</v>
      </c>
      <c r="B31" s="128" t="s">
        <v>83</v>
      </c>
      <c r="C31" s="128" t="s">
        <v>272</v>
      </c>
      <c r="D31" s="128" t="s">
        <v>202</v>
      </c>
      <c r="G31" s="335"/>
      <c r="H31" s="335"/>
      <c r="I31" s="335"/>
      <c r="J31" s="335"/>
      <c r="K31" s="335"/>
      <c r="L31" s="335"/>
      <c r="M31" s="385"/>
      <c r="N31" s="335"/>
      <c r="O31" s="335"/>
      <c r="P31" s="335"/>
      <c r="Q31" s="335"/>
      <c r="R31" s="335"/>
      <c r="S31" s="335"/>
      <c r="T31" s="358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</row>
    <row r="32" spans="1:42" s="128" customFormat="1" ht="20.25" customHeight="1">
      <c r="A32" s="127">
        <f t="shared" si="0"/>
        <v>24</v>
      </c>
      <c r="B32" s="128" t="s">
        <v>85</v>
      </c>
      <c r="D32" s="128" t="s">
        <v>202</v>
      </c>
      <c r="E32" s="128" t="s">
        <v>255</v>
      </c>
      <c r="F32" s="128" t="s">
        <v>202</v>
      </c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58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</row>
    <row r="33" spans="1:42" s="131" customFormat="1" ht="21" customHeight="1">
      <c r="A33" s="130">
        <f t="shared" si="0"/>
        <v>25</v>
      </c>
      <c r="B33" s="131" t="s">
        <v>86</v>
      </c>
      <c r="C33" s="131" t="s">
        <v>296</v>
      </c>
      <c r="D33" s="131" t="s">
        <v>202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59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</row>
    <row r="34" spans="1:42" s="132" customFormat="1" ht="12.75">
      <c r="A34" s="322" t="s">
        <v>117</v>
      </c>
      <c r="B34" s="323" t="s">
        <v>65</v>
      </c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60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</row>
    <row r="35" spans="1:42" s="126" customFormat="1" ht="27" customHeight="1">
      <c r="A35" s="125">
        <v>26</v>
      </c>
      <c r="B35" s="126" t="s">
        <v>87</v>
      </c>
      <c r="C35" s="126" t="s">
        <v>293</v>
      </c>
      <c r="D35" s="126" t="s">
        <v>258</v>
      </c>
      <c r="E35" s="126" t="s">
        <v>203</v>
      </c>
      <c r="G35" s="348" t="s">
        <v>302</v>
      </c>
      <c r="H35" s="349">
        <v>23</v>
      </c>
      <c r="I35" s="349">
        <v>23</v>
      </c>
      <c r="J35" s="383" t="s">
        <v>319</v>
      </c>
      <c r="K35" s="334"/>
      <c r="L35" s="334"/>
      <c r="M35" s="334"/>
      <c r="N35" s="334"/>
      <c r="O35" s="349" t="s">
        <v>303</v>
      </c>
      <c r="P35" s="349" t="s">
        <v>310</v>
      </c>
      <c r="Q35" s="349">
        <v>18</v>
      </c>
      <c r="R35" s="349" t="s">
        <v>303</v>
      </c>
      <c r="S35" s="334"/>
      <c r="T35" s="361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</row>
    <row r="36" spans="1:42" s="128" customFormat="1" ht="24.75" customHeight="1">
      <c r="A36" s="127">
        <f>A35+1</f>
        <v>27</v>
      </c>
      <c r="B36" s="128" t="s">
        <v>88</v>
      </c>
      <c r="C36" s="128" t="s">
        <v>294</v>
      </c>
      <c r="D36" s="128" t="s">
        <v>202</v>
      </c>
      <c r="E36" s="126" t="s">
        <v>203</v>
      </c>
      <c r="G36" s="335" t="s">
        <v>321</v>
      </c>
      <c r="H36" s="335">
        <v>20</v>
      </c>
      <c r="I36" s="335">
        <v>1</v>
      </c>
      <c r="J36" s="335" t="s">
        <v>301</v>
      </c>
      <c r="K36" s="335">
        <v>19</v>
      </c>
      <c r="L36" s="383" t="s">
        <v>319</v>
      </c>
      <c r="M36" s="383"/>
      <c r="N36" s="383"/>
      <c r="O36" s="335">
        <v>2</v>
      </c>
      <c r="P36" s="335">
        <v>1</v>
      </c>
      <c r="Q36" s="335">
        <v>16</v>
      </c>
      <c r="R36" s="335">
        <v>1</v>
      </c>
      <c r="S36" s="335"/>
      <c r="T36" s="358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</row>
    <row r="37" spans="1:42" s="128" customFormat="1" ht="25.5" customHeight="1">
      <c r="A37" s="127">
        <f>A36+1</f>
        <v>28</v>
      </c>
      <c r="B37" s="128" t="s">
        <v>89</v>
      </c>
      <c r="C37" s="128" t="s">
        <v>300</v>
      </c>
      <c r="D37" s="128" t="s">
        <v>202</v>
      </c>
      <c r="E37" s="126" t="s">
        <v>203</v>
      </c>
      <c r="G37" s="355" t="s">
        <v>302</v>
      </c>
      <c r="H37" s="356">
        <v>29</v>
      </c>
      <c r="I37" s="356">
        <v>1</v>
      </c>
      <c r="J37" s="383" t="s">
        <v>319</v>
      </c>
      <c r="K37" s="357">
        <v>28</v>
      </c>
      <c r="L37" s="383" t="s">
        <v>319</v>
      </c>
      <c r="M37" s="383"/>
      <c r="N37" s="383"/>
      <c r="O37" s="357">
        <v>7</v>
      </c>
      <c r="P37" s="357">
        <v>3</v>
      </c>
      <c r="Q37" s="357">
        <v>17</v>
      </c>
      <c r="R37" s="357">
        <v>1</v>
      </c>
      <c r="S37" s="335"/>
      <c r="T37" s="358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</row>
    <row r="38" spans="1:42" s="128" customFormat="1" ht="26.25" customHeight="1">
      <c r="A38" s="127">
        <f>A37+1</f>
        <v>29</v>
      </c>
      <c r="B38" s="128" t="s">
        <v>90</v>
      </c>
      <c r="C38" s="128" t="s">
        <v>297</v>
      </c>
      <c r="D38" s="128" t="s">
        <v>258</v>
      </c>
      <c r="E38" s="126" t="s">
        <v>203</v>
      </c>
      <c r="G38" s="350" t="s">
        <v>302</v>
      </c>
      <c r="H38" s="350">
        <v>16</v>
      </c>
      <c r="I38" s="350">
        <v>8</v>
      </c>
      <c r="J38" s="383" t="s">
        <v>319</v>
      </c>
      <c r="K38" s="351">
        <v>8</v>
      </c>
      <c r="L38" s="383" t="s">
        <v>319</v>
      </c>
      <c r="M38" s="383"/>
      <c r="N38" s="383"/>
      <c r="O38" s="352">
        <v>1</v>
      </c>
      <c r="P38" s="352">
        <v>1</v>
      </c>
      <c r="Q38" s="352" t="s">
        <v>304</v>
      </c>
      <c r="R38" s="350">
        <v>13</v>
      </c>
      <c r="S38" s="352" t="s">
        <v>303</v>
      </c>
      <c r="T38" s="358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</row>
    <row r="39" spans="1:42" s="131" customFormat="1" ht="25.5" customHeight="1">
      <c r="A39" s="130">
        <f>A38+1</f>
        <v>30</v>
      </c>
      <c r="B39" s="131" t="s">
        <v>91</v>
      </c>
      <c r="C39" s="131" t="s">
        <v>299</v>
      </c>
      <c r="D39" s="131" t="s">
        <v>202</v>
      </c>
      <c r="E39" s="126" t="s">
        <v>203</v>
      </c>
      <c r="G39" s="341" t="s">
        <v>309</v>
      </c>
      <c r="H39" s="341">
        <v>30</v>
      </c>
      <c r="I39" s="341">
        <v>13</v>
      </c>
      <c r="J39" s="383" t="s">
        <v>319</v>
      </c>
      <c r="K39" s="341">
        <v>17</v>
      </c>
      <c r="L39" s="383" t="s">
        <v>319</v>
      </c>
      <c r="M39" s="385"/>
      <c r="N39" s="385"/>
      <c r="O39" s="341">
        <v>1</v>
      </c>
      <c r="P39" s="341">
        <v>1</v>
      </c>
      <c r="Q39" s="341"/>
      <c r="R39" s="341">
        <v>24</v>
      </c>
      <c r="S39" s="341">
        <v>4</v>
      </c>
      <c r="T39" s="359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</row>
    <row r="40" spans="1:32" s="132" customFormat="1" ht="18.75" customHeight="1">
      <c r="A40" s="322" t="s">
        <v>118</v>
      </c>
      <c r="B40" s="323" t="s">
        <v>66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60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</row>
    <row r="41" spans="1:32" s="126" customFormat="1" ht="37.5" customHeight="1">
      <c r="A41" s="125">
        <v>31</v>
      </c>
      <c r="B41" s="126" t="s">
        <v>92</v>
      </c>
      <c r="C41" s="126" t="s">
        <v>298</v>
      </c>
      <c r="D41" s="126" t="s">
        <v>202</v>
      </c>
      <c r="E41" s="126" t="s">
        <v>203</v>
      </c>
      <c r="G41" s="334" t="s">
        <v>309</v>
      </c>
      <c r="H41" s="334">
        <v>9</v>
      </c>
      <c r="I41" s="334">
        <v>4</v>
      </c>
      <c r="J41" s="353" t="s">
        <v>320</v>
      </c>
      <c r="K41" s="334">
        <v>5</v>
      </c>
      <c r="L41" s="383" t="s">
        <v>319</v>
      </c>
      <c r="M41" s="383"/>
      <c r="N41" s="383"/>
      <c r="O41" s="334"/>
      <c r="P41" s="334"/>
      <c r="Q41" s="334">
        <v>8</v>
      </c>
      <c r="R41" s="334">
        <v>1</v>
      </c>
      <c r="S41" s="334"/>
      <c r="T41" s="361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</row>
    <row r="42" spans="1:32" s="333" customFormat="1" ht="21.75" customHeight="1">
      <c r="A42" s="332">
        <v>32</v>
      </c>
      <c r="B42" s="333" t="s">
        <v>93</v>
      </c>
      <c r="C42" s="333" t="s">
        <v>295</v>
      </c>
      <c r="D42" s="333" t="s">
        <v>202</v>
      </c>
      <c r="E42" s="333" t="s">
        <v>203</v>
      </c>
      <c r="G42" s="436" t="s">
        <v>322</v>
      </c>
      <c r="H42" s="354">
        <v>8</v>
      </c>
      <c r="I42" s="354">
        <v>8</v>
      </c>
      <c r="J42" s="437" t="s">
        <v>319</v>
      </c>
      <c r="K42" s="354">
        <v>0</v>
      </c>
      <c r="L42" s="354">
        <v>0</v>
      </c>
      <c r="M42" s="354"/>
      <c r="N42" s="354"/>
      <c r="O42" s="354">
        <v>0</v>
      </c>
      <c r="P42" s="354">
        <v>1</v>
      </c>
      <c r="Q42" s="354">
        <v>6</v>
      </c>
      <c r="R42" s="354">
        <v>1</v>
      </c>
      <c r="S42" s="354"/>
      <c r="T42" s="362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8:32" ht="12.75"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21:32" ht="12.75"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21:32" ht="12.75"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21:32" ht="12.75"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21:32" ht="12.75"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21:32" ht="12.75"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21:32" ht="12.75"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21:32" ht="12.75"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21:32" ht="12.75"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21:32" ht="12.75"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21:32" ht="12.75"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21:32" ht="12.75"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21:32" ht="12.75"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</sheetData>
  <sheetProtection/>
  <mergeCells count="13">
    <mergeCell ref="A1:R1"/>
    <mergeCell ref="C3:C4"/>
    <mergeCell ref="B3:B4"/>
    <mergeCell ref="A3:A4"/>
    <mergeCell ref="G3:G4"/>
    <mergeCell ref="H3:H4"/>
    <mergeCell ref="S3:S4"/>
    <mergeCell ref="T3:T4"/>
    <mergeCell ref="F3:F4"/>
    <mergeCell ref="E3:E4"/>
    <mergeCell ref="D3:D4"/>
    <mergeCell ref="I3:L3"/>
    <mergeCell ref="O3:R3"/>
  </mergeCells>
  <printOptions horizontalCentered="1"/>
  <pageMargins left="0.45" right="0.2" top="0.25" bottom="0.25" header="0.3" footer="0.3"/>
  <pageSetup horizontalDpi="600" verticalDpi="600" orientation="landscape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K23" sqref="K23"/>
    </sheetView>
  </sheetViews>
  <sheetFormatPr defaultColWidth="9.140625" defaultRowHeight="15" customHeight="1"/>
  <cols>
    <col min="1" max="1" width="6.28125" style="98" customWidth="1"/>
    <col min="2" max="2" width="18.140625" style="124" customWidth="1"/>
    <col min="3" max="3" width="13.421875" style="98" customWidth="1"/>
    <col min="4" max="4" width="12.28125" style="98" customWidth="1"/>
    <col min="5" max="5" width="10.8515625" style="98" customWidth="1"/>
    <col min="6" max="6" width="11.421875" style="98" customWidth="1"/>
    <col min="7" max="7" width="13.7109375" style="98" customWidth="1"/>
    <col min="8" max="8" width="19.8515625" style="98" customWidth="1"/>
    <col min="9" max="9" width="18.00390625" style="98" customWidth="1"/>
    <col min="10" max="16384" width="9.140625" style="98" customWidth="1"/>
  </cols>
  <sheetData>
    <row r="1" spans="1:7" ht="12" customHeight="1">
      <c r="A1" s="917"/>
      <c r="B1" s="917"/>
      <c r="C1" s="917"/>
      <c r="D1" s="917"/>
      <c r="E1" s="917"/>
      <c r="F1" s="917"/>
      <c r="G1" s="917"/>
    </row>
    <row r="2" spans="1:7" ht="12" customHeight="1">
      <c r="A2" s="917"/>
      <c r="B2" s="917"/>
      <c r="C2" s="917"/>
      <c r="D2" s="917"/>
      <c r="E2" s="917"/>
      <c r="F2" s="917"/>
      <c r="G2" s="917"/>
    </row>
    <row r="3" spans="1:9" ht="12" customHeight="1">
      <c r="A3" s="657"/>
      <c r="B3" s="657"/>
      <c r="C3" s="657"/>
      <c r="D3" s="657"/>
      <c r="E3" s="657"/>
      <c r="F3" s="657"/>
      <c r="G3" s="657"/>
      <c r="H3" s="914"/>
      <c r="I3" s="914"/>
    </row>
    <row r="4" spans="1:9" s="375" customFormat="1" ht="14.25">
      <c r="A4" s="918" t="s">
        <v>0</v>
      </c>
      <c r="B4" s="918" t="s">
        <v>185</v>
      </c>
      <c r="C4" s="919" t="s">
        <v>186</v>
      </c>
      <c r="D4" s="920"/>
      <c r="E4" s="921"/>
      <c r="F4" s="922" t="s">
        <v>402</v>
      </c>
      <c r="G4" s="922"/>
      <c r="H4" s="915" t="s">
        <v>541</v>
      </c>
      <c r="I4" s="916"/>
    </row>
    <row r="5" spans="1:9" ht="29.25" customHeight="1">
      <c r="A5" s="918"/>
      <c r="B5" s="918"/>
      <c r="C5" s="99" t="s">
        <v>187</v>
      </c>
      <c r="D5" s="99" t="s">
        <v>188</v>
      </c>
      <c r="E5" s="658" t="s">
        <v>189</v>
      </c>
      <c r="F5" s="438" t="s">
        <v>258</v>
      </c>
      <c r="G5" s="438" t="s">
        <v>202</v>
      </c>
      <c r="H5" s="659" t="s">
        <v>501</v>
      </c>
      <c r="I5" s="659" t="s">
        <v>502</v>
      </c>
    </row>
    <row r="6" spans="1:9" s="102" customFormat="1" ht="14.25">
      <c r="A6" s="100" t="s">
        <v>105</v>
      </c>
      <c r="B6" s="101" t="s">
        <v>61</v>
      </c>
      <c r="C6" s="100">
        <f>SUM(C7:C10)</f>
        <v>4</v>
      </c>
      <c r="D6" s="100">
        <f>SUM(D7:D10)</f>
        <v>4</v>
      </c>
      <c r="E6" s="100">
        <f>SUM(E7:E10)</f>
        <v>4</v>
      </c>
      <c r="F6" s="382">
        <f>SUM(F7:F10)</f>
        <v>1</v>
      </c>
      <c r="G6" s="382">
        <f>SUM(G7:G10)</f>
        <v>3</v>
      </c>
      <c r="H6" s="666"/>
      <c r="I6" s="666"/>
    </row>
    <row r="7" spans="1:9" ht="14.25" customHeight="1">
      <c r="A7" s="103">
        <v>1</v>
      </c>
      <c r="B7" s="104" t="s">
        <v>68</v>
      </c>
      <c r="C7" s="105">
        <v>1</v>
      </c>
      <c r="D7" s="105">
        <v>1</v>
      </c>
      <c r="E7" s="105">
        <v>1</v>
      </c>
      <c r="F7" s="439"/>
      <c r="G7" s="439">
        <v>1</v>
      </c>
      <c r="H7" s="667" t="s">
        <v>520</v>
      </c>
      <c r="I7" s="667" t="s">
        <v>523</v>
      </c>
    </row>
    <row r="8" spans="1:9" ht="14.25">
      <c r="A8" s="106">
        <v>2</v>
      </c>
      <c r="B8" s="107" t="s">
        <v>69</v>
      </c>
      <c r="C8" s="108">
        <v>1</v>
      </c>
      <c r="D8" s="108">
        <v>1</v>
      </c>
      <c r="E8" s="108">
        <v>1</v>
      </c>
      <c r="F8" s="440"/>
      <c r="G8" s="440">
        <v>1</v>
      </c>
      <c r="H8" s="668" t="s">
        <v>503</v>
      </c>
      <c r="I8" s="668" t="s">
        <v>504</v>
      </c>
    </row>
    <row r="9" spans="1:9" ht="14.25">
      <c r="A9" s="106">
        <v>3</v>
      </c>
      <c r="B9" s="107" t="s">
        <v>67</v>
      </c>
      <c r="C9" s="108">
        <v>1</v>
      </c>
      <c r="D9" s="108">
        <v>1</v>
      </c>
      <c r="E9" s="108">
        <v>1</v>
      </c>
      <c r="F9" s="440"/>
      <c r="G9" s="440">
        <v>1</v>
      </c>
      <c r="H9" s="668" t="s">
        <v>505</v>
      </c>
      <c r="I9" s="668" t="s">
        <v>506</v>
      </c>
    </row>
    <row r="10" spans="1:9" ht="14.25">
      <c r="A10" s="109">
        <v>4</v>
      </c>
      <c r="B10" s="110" t="s">
        <v>70</v>
      </c>
      <c r="C10" s="111">
        <v>1</v>
      </c>
      <c r="D10" s="111">
        <v>1</v>
      </c>
      <c r="E10" s="111">
        <v>1</v>
      </c>
      <c r="F10" s="441">
        <v>1</v>
      </c>
      <c r="G10" s="441"/>
      <c r="H10" s="669" t="s">
        <v>507</v>
      </c>
      <c r="I10" s="669" t="s">
        <v>506</v>
      </c>
    </row>
    <row r="11" spans="1:9" s="102" customFormat="1" ht="14.25">
      <c r="A11" s="112" t="s">
        <v>107</v>
      </c>
      <c r="B11" s="101" t="s">
        <v>62</v>
      </c>
      <c r="C11" s="100">
        <f>SUM(C12:C22)</f>
        <v>11</v>
      </c>
      <c r="D11" s="100">
        <f>SUM(D12:D22)</f>
        <v>11</v>
      </c>
      <c r="E11" s="100">
        <f>SUM(E12:E22)</f>
        <v>9</v>
      </c>
      <c r="F11" s="382">
        <f>SUM(F12:F21)</f>
        <v>1</v>
      </c>
      <c r="G11" s="382">
        <f>SUM(G12:G22)</f>
        <v>8</v>
      </c>
      <c r="H11" s="670"/>
      <c r="I11" s="670"/>
    </row>
    <row r="12" spans="1:9" ht="14.25">
      <c r="A12" s="103">
        <v>5</v>
      </c>
      <c r="B12" s="104" t="s">
        <v>71</v>
      </c>
      <c r="C12" s="105">
        <v>1</v>
      </c>
      <c r="D12" s="105">
        <v>1</v>
      </c>
      <c r="E12" s="105">
        <v>1</v>
      </c>
      <c r="F12" s="439"/>
      <c r="G12" s="439">
        <v>1</v>
      </c>
      <c r="H12" s="667" t="s">
        <v>538</v>
      </c>
      <c r="I12" s="667" t="s">
        <v>506</v>
      </c>
    </row>
    <row r="13" spans="1:9" ht="14.25">
      <c r="A13" s="106">
        <v>6</v>
      </c>
      <c r="B13" s="107" t="s">
        <v>72</v>
      </c>
      <c r="C13" s="108">
        <v>1</v>
      </c>
      <c r="D13" s="108">
        <v>1</v>
      </c>
      <c r="E13" s="108">
        <v>1</v>
      </c>
      <c r="F13" s="440">
        <v>1</v>
      </c>
      <c r="G13" s="440"/>
      <c r="H13" s="668" t="s">
        <v>539</v>
      </c>
      <c r="I13" s="668"/>
    </row>
    <row r="14" spans="1:9" ht="14.25">
      <c r="A14" s="106">
        <v>7</v>
      </c>
      <c r="B14" s="107" t="s">
        <v>108</v>
      </c>
      <c r="C14" s="108">
        <v>1</v>
      </c>
      <c r="D14" s="108">
        <v>1</v>
      </c>
      <c r="E14" s="108">
        <v>1</v>
      </c>
      <c r="F14" s="440"/>
      <c r="G14" s="440">
        <v>1</v>
      </c>
      <c r="H14" s="668"/>
      <c r="I14" s="668"/>
    </row>
    <row r="15" spans="1:9" ht="14.25">
      <c r="A15" s="106">
        <v>8</v>
      </c>
      <c r="B15" s="107" t="s">
        <v>73</v>
      </c>
      <c r="C15" s="108">
        <v>1</v>
      </c>
      <c r="D15" s="108">
        <v>1</v>
      </c>
      <c r="E15" s="108">
        <v>1</v>
      </c>
      <c r="F15" s="440"/>
      <c r="G15" s="440">
        <v>1</v>
      </c>
      <c r="H15" s="668" t="s">
        <v>512</v>
      </c>
      <c r="I15" s="668" t="s">
        <v>506</v>
      </c>
    </row>
    <row r="16" spans="1:9" ht="14.25">
      <c r="A16" s="106">
        <v>9</v>
      </c>
      <c r="B16" s="107" t="s">
        <v>75</v>
      </c>
      <c r="C16" s="108">
        <v>1</v>
      </c>
      <c r="D16" s="108">
        <v>1</v>
      </c>
      <c r="E16" s="108">
        <v>1</v>
      </c>
      <c r="F16" s="440"/>
      <c r="G16" s="440">
        <v>1</v>
      </c>
      <c r="H16" s="668" t="s">
        <v>535</v>
      </c>
      <c r="I16" s="668" t="s">
        <v>506</v>
      </c>
    </row>
    <row r="17" spans="1:9" ht="14.25">
      <c r="A17" s="106">
        <v>10</v>
      </c>
      <c r="B17" s="107" t="s">
        <v>76</v>
      </c>
      <c r="C17" s="108">
        <v>1</v>
      </c>
      <c r="D17" s="108">
        <v>1</v>
      </c>
      <c r="E17" s="108">
        <v>1</v>
      </c>
      <c r="F17" s="440"/>
      <c r="G17" s="440">
        <v>1</v>
      </c>
      <c r="H17" s="668" t="s">
        <v>525</v>
      </c>
      <c r="I17" s="668" t="s">
        <v>506</v>
      </c>
    </row>
    <row r="18" spans="1:9" ht="14.25">
      <c r="A18" s="106">
        <v>11</v>
      </c>
      <c r="B18" s="107" t="s">
        <v>77</v>
      </c>
      <c r="C18" s="108">
        <v>1</v>
      </c>
      <c r="D18" s="108">
        <v>1</v>
      </c>
      <c r="E18" s="108">
        <v>1</v>
      </c>
      <c r="F18" s="440"/>
      <c r="G18" s="440">
        <v>1</v>
      </c>
      <c r="H18" s="668" t="s">
        <v>540</v>
      </c>
      <c r="I18" s="668" t="s">
        <v>506</v>
      </c>
    </row>
    <row r="19" spans="1:9" ht="14.25">
      <c r="A19" s="106">
        <v>12</v>
      </c>
      <c r="B19" s="107" t="s">
        <v>190</v>
      </c>
      <c r="C19" s="108">
        <v>1</v>
      </c>
      <c r="D19" s="108">
        <v>1</v>
      </c>
      <c r="E19" s="113">
        <v>1</v>
      </c>
      <c r="F19" s="440"/>
      <c r="G19" s="442">
        <v>1</v>
      </c>
      <c r="H19" s="668"/>
      <c r="I19" s="671"/>
    </row>
    <row r="20" spans="1:9" ht="14.25">
      <c r="A20" s="114">
        <v>13</v>
      </c>
      <c r="B20" s="115" t="s">
        <v>191</v>
      </c>
      <c r="C20" s="116">
        <v>1</v>
      </c>
      <c r="D20" s="116">
        <v>1</v>
      </c>
      <c r="E20" s="117"/>
      <c r="F20" s="440"/>
      <c r="G20" s="442"/>
      <c r="H20" s="668" t="s">
        <v>534</v>
      </c>
      <c r="I20" s="671" t="s">
        <v>506</v>
      </c>
    </row>
    <row r="21" spans="1:9" ht="14.25">
      <c r="A21" s="106">
        <v>14</v>
      </c>
      <c r="B21" s="107" t="s">
        <v>192</v>
      </c>
      <c r="C21" s="108">
        <v>1</v>
      </c>
      <c r="D21" s="108">
        <v>1</v>
      </c>
      <c r="E21" s="113"/>
      <c r="F21" s="440"/>
      <c r="G21" s="442"/>
      <c r="H21" s="668" t="s">
        <v>536</v>
      </c>
      <c r="I21" s="671" t="s">
        <v>506</v>
      </c>
    </row>
    <row r="22" spans="1:9" ht="14.25">
      <c r="A22" s="109">
        <v>15</v>
      </c>
      <c r="B22" s="110" t="s">
        <v>194</v>
      </c>
      <c r="C22" s="111">
        <v>1</v>
      </c>
      <c r="D22" s="111">
        <v>1</v>
      </c>
      <c r="E22" s="111">
        <v>1</v>
      </c>
      <c r="F22" s="447"/>
      <c r="G22" s="442">
        <v>1</v>
      </c>
      <c r="H22" s="668" t="s">
        <v>539</v>
      </c>
      <c r="I22" s="671"/>
    </row>
    <row r="23" spans="1:9" s="375" customFormat="1" ht="26.25" customHeight="1">
      <c r="A23" s="378" t="s">
        <v>110</v>
      </c>
      <c r="B23" s="379" t="s">
        <v>317</v>
      </c>
      <c r="C23" s="380">
        <f>SUM(C24:C25)</f>
        <v>2</v>
      </c>
      <c r="D23" s="380">
        <f>SUM(D24:D25)</f>
        <v>0</v>
      </c>
      <c r="E23" s="380">
        <f>SUM(E24:E25)</f>
        <v>0</v>
      </c>
      <c r="F23" s="380">
        <v>0</v>
      </c>
      <c r="G23" s="380">
        <v>0</v>
      </c>
      <c r="H23" s="670"/>
      <c r="I23" s="670"/>
    </row>
    <row r="24" spans="1:9" s="365" customFormat="1" ht="14.25">
      <c r="A24" s="376">
        <v>16</v>
      </c>
      <c r="B24" s="363" t="s">
        <v>193</v>
      </c>
      <c r="C24" s="364">
        <v>1</v>
      </c>
      <c r="D24" s="364"/>
      <c r="E24" s="377"/>
      <c r="F24" s="448"/>
      <c r="G24" s="448"/>
      <c r="H24" s="448"/>
      <c r="I24" s="448"/>
    </row>
    <row r="25" spans="1:9" ht="14.25">
      <c r="A25" s="114">
        <v>17</v>
      </c>
      <c r="B25" s="110" t="s">
        <v>195</v>
      </c>
      <c r="C25" s="111">
        <v>1</v>
      </c>
      <c r="D25" s="111"/>
      <c r="E25" s="118"/>
      <c r="F25" s="447"/>
      <c r="G25" s="447"/>
      <c r="H25" s="447"/>
      <c r="I25" s="447"/>
    </row>
    <row r="26" spans="1:9" s="102" customFormat="1" ht="14.25">
      <c r="A26" s="112" t="s">
        <v>113</v>
      </c>
      <c r="B26" s="101" t="s">
        <v>63</v>
      </c>
      <c r="C26" s="100">
        <f>SUM(C27:C32)</f>
        <v>5</v>
      </c>
      <c r="D26" s="100">
        <f>SUM(D27:D32)</f>
        <v>5</v>
      </c>
      <c r="E26" s="100">
        <f>SUM(E27:E32)</f>
        <v>5</v>
      </c>
      <c r="F26" s="382">
        <f>SUM(F27:F32)</f>
        <v>2</v>
      </c>
      <c r="G26" s="382">
        <f>SUM(G27:G32)</f>
        <v>3</v>
      </c>
      <c r="H26" s="670"/>
      <c r="I26" s="670"/>
    </row>
    <row r="27" spans="1:9" ht="14.25">
      <c r="A27" s="103">
        <v>18</v>
      </c>
      <c r="B27" s="104" t="s">
        <v>78</v>
      </c>
      <c r="C27" s="105">
        <v>1</v>
      </c>
      <c r="D27" s="105">
        <v>1</v>
      </c>
      <c r="E27" s="105">
        <v>1</v>
      </c>
      <c r="F27" s="439"/>
      <c r="G27" s="439">
        <v>1</v>
      </c>
      <c r="H27" s="667" t="s">
        <v>522</v>
      </c>
      <c r="I27" s="667" t="s">
        <v>506</v>
      </c>
    </row>
    <row r="28" spans="1:9" ht="14.25">
      <c r="A28" s="106">
        <v>19</v>
      </c>
      <c r="B28" s="107" t="s">
        <v>79</v>
      </c>
      <c r="C28" s="108">
        <v>1</v>
      </c>
      <c r="D28" s="108">
        <v>1</v>
      </c>
      <c r="E28" s="108">
        <v>1</v>
      </c>
      <c r="F28" s="440"/>
      <c r="G28" s="440">
        <v>1</v>
      </c>
      <c r="H28" s="668" t="s">
        <v>508</v>
      </c>
      <c r="I28" s="668" t="s">
        <v>504</v>
      </c>
    </row>
    <row r="29" spans="1:10" ht="14.25">
      <c r="A29" s="106">
        <v>20</v>
      </c>
      <c r="B29" s="107" t="s">
        <v>111</v>
      </c>
      <c r="C29" s="108">
        <v>1</v>
      </c>
      <c r="D29" s="108">
        <v>1</v>
      </c>
      <c r="E29" s="108">
        <v>1</v>
      </c>
      <c r="F29" s="440">
        <v>1</v>
      </c>
      <c r="G29" s="440"/>
      <c r="H29" s="668" t="s">
        <v>530</v>
      </c>
      <c r="I29" s="668" t="s">
        <v>506</v>
      </c>
      <c r="J29" s="98" t="s">
        <v>532</v>
      </c>
    </row>
    <row r="30" spans="1:9" ht="14.25">
      <c r="A30" s="106"/>
      <c r="B30" s="107"/>
      <c r="C30" s="108"/>
      <c r="D30" s="108"/>
      <c r="E30" s="108"/>
      <c r="F30" s="440"/>
      <c r="G30" s="440"/>
      <c r="H30" s="668" t="s">
        <v>531</v>
      </c>
      <c r="I30" s="668" t="s">
        <v>504</v>
      </c>
    </row>
    <row r="31" spans="1:9" ht="14.25">
      <c r="A31" s="106">
        <v>21</v>
      </c>
      <c r="B31" s="107" t="s">
        <v>80</v>
      </c>
      <c r="C31" s="108">
        <v>1</v>
      </c>
      <c r="D31" s="108">
        <v>1</v>
      </c>
      <c r="E31" s="108">
        <v>1</v>
      </c>
      <c r="F31" s="440"/>
      <c r="G31" s="440">
        <v>1</v>
      </c>
      <c r="H31" s="668"/>
      <c r="I31" s="668"/>
    </row>
    <row r="32" spans="1:9" ht="14.25">
      <c r="A32" s="109">
        <v>22</v>
      </c>
      <c r="B32" s="110" t="s">
        <v>81</v>
      </c>
      <c r="C32" s="111">
        <v>1</v>
      </c>
      <c r="D32" s="111">
        <v>1</v>
      </c>
      <c r="E32" s="111">
        <v>1</v>
      </c>
      <c r="F32" s="441">
        <v>1</v>
      </c>
      <c r="G32" s="441"/>
      <c r="H32" s="669" t="s">
        <v>524</v>
      </c>
      <c r="I32" s="669" t="s">
        <v>506</v>
      </c>
    </row>
    <row r="33" spans="1:9" s="102" customFormat="1" ht="14.25">
      <c r="A33" s="112" t="s">
        <v>117</v>
      </c>
      <c r="B33" s="101" t="s">
        <v>64</v>
      </c>
      <c r="C33" s="100">
        <f>SUM(C34:C41)</f>
        <v>7</v>
      </c>
      <c r="D33" s="100">
        <f>SUM(D34:D41)</f>
        <v>7</v>
      </c>
      <c r="E33" s="100">
        <f>SUM(E34:E41)</f>
        <v>7</v>
      </c>
      <c r="F33" s="382">
        <f>SUM(F34:F41)</f>
        <v>1</v>
      </c>
      <c r="G33" s="382">
        <f>SUM(G34:G41)</f>
        <v>6</v>
      </c>
      <c r="H33" s="670"/>
      <c r="I33" s="670"/>
    </row>
    <row r="34" spans="1:9" ht="14.25">
      <c r="A34" s="103">
        <v>23</v>
      </c>
      <c r="B34" s="104" t="s">
        <v>114</v>
      </c>
      <c r="C34" s="105">
        <v>1</v>
      </c>
      <c r="D34" s="105">
        <v>1</v>
      </c>
      <c r="E34" s="105">
        <v>1</v>
      </c>
      <c r="F34" s="439">
        <v>1</v>
      </c>
      <c r="G34" s="439"/>
      <c r="H34" s="667" t="s">
        <v>527</v>
      </c>
      <c r="I34" s="667" t="s">
        <v>506</v>
      </c>
    </row>
    <row r="35" spans="1:9" ht="14.25">
      <c r="A35" s="106">
        <v>24</v>
      </c>
      <c r="B35" s="107" t="s">
        <v>115</v>
      </c>
      <c r="C35" s="108">
        <v>1</v>
      </c>
      <c r="D35" s="108">
        <v>1</v>
      </c>
      <c r="E35" s="113">
        <v>1</v>
      </c>
      <c r="F35" s="440"/>
      <c r="G35" s="442">
        <v>1</v>
      </c>
      <c r="H35" s="668" t="s">
        <v>526</v>
      </c>
      <c r="I35" s="671" t="s">
        <v>506</v>
      </c>
    </row>
    <row r="36" spans="1:9" ht="14.25">
      <c r="A36" s="106">
        <v>25</v>
      </c>
      <c r="B36" s="107" t="s">
        <v>84</v>
      </c>
      <c r="C36" s="108">
        <v>1</v>
      </c>
      <c r="D36" s="108">
        <v>1</v>
      </c>
      <c r="E36" s="108">
        <v>1</v>
      </c>
      <c r="F36" s="440"/>
      <c r="G36" s="440">
        <v>1</v>
      </c>
      <c r="H36" s="668" t="s">
        <v>528</v>
      </c>
      <c r="I36" s="668" t="s">
        <v>506</v>
      </c>
    </row>
    <row r="37" spans="1:9" ht="14.25">
      <c r="A37" s="106">
        <v>26</v>
      </c>
      <c r="B37" s="107" t="s">
        <v>83</v>
      </c>
      <c r="C37" s="108">
        <v>1</v>
      </c>
      <c r="D37" s="108">
        <v>1</v>
      </c>
      <c r="E37" s="108">
        <v>1</v>
      </c>
      <c r="F37" s="440"/>
      <c r="G37" s="440">
        <v>1</v>
      </c>
      <c r="H37" s="668" t="s">
        <v>509</v>
      </c>
      <c r="I37" s="668" t="s">
        <v>506</v>
      </c>
    </row>
    <row r="38" spans="1:9" ht="14.25">
      <c r="A38" s="106">
        <v>27</v>
      </c>
      <c r="B38" s="107" t="s">
        <v>168</v>
      </c>
      <c r="C38" s="108">
        <v>1</v>
      </c>
      <c r="D38" s="108">
        <v>1</v>
      </c>
      <c r="E38" s="113">
        <v>1</v>
      </c>
      <c r="F38" s="440"/>
      <c r="G38" s="442">
        <v>1</v>
      </c>
      <c r="H38" s="668" t="s">
        <v>542</v>
      </c>
      <c r="I38" s="668" t="s">
        <v>506</v>
      </c>
    </row>
    <row r="39" spans="1:10" ht="14.25">
      <c r="A39" s="106">
        <v>28</v>
      </c>
      <c r="B39" s="107" t="s">
        <v>85</v>
      </c>
      <c r="C39" s="108">
        <v>1</v>
      </c>
      <c r="D39" s="108">
        <v>1</v>
      </c>
      <c r="E39" s="108">
        <v>1</v>
      </c>
      <c r="F39" s="440"/>
      <c r="G39" s="440">
        <v>1</v>
      </c>
      <c r="H39" s="668" t="s">
        <v>517</v>
      </c>
      <c r="I39" s="668" t="s">
        <v>506</v>
      </c>
      <c r="J39" s="98" t="s">
        <v>532</v>
      </c>
    </row>
    <row r="40" spans="1:9" ht="14.25">
      <c r="A40" s="114"/>
      <c r="B40" s="115"/>
      <c r="C40" s="116"/>
      <c r="D40" s="116"/>
      <c r="E40" s="116"/>
      <c r="F40" s="443"/>
      <c r="G40" s="443"/>
      <c r="H40" s="672" t="s">
        <v>518</v>
      </c>
      <c r="I40" s="672" t="s">
        <v>506</v>
      </c>
    </row>
    <row r="41" spans="1:9" ht="14.25">
      <c r="A41" s="109">
        <v>29</v>
      </c>
      <c r="B41" s="110" t="s">
        <v>86</v>
      </c>
      <c r="C41" s="111">
        <v>1</v>
      </c>
      <c r="D41" s="111">
        <v>1</v>
      </c>
      <c r="E41" s="111">
        <v>1</v>
      </c>
      <c r="F41" s="441"/>
      <c r="G41" s="441">
        <v>1</v>
      </c>
      <c r="H41" s="669" t="s">
        <v>533</v>
      </c>
      <c r="I41" s="669" t="s">
        <v>506</v>
      </c>
    </row>
    <row r="42" spans="1:9" s="102" customFormat="1" ht="14.25">
      <c r="A42" s="112" t="s">
        <v>118</v>
      </c>
      <c r="B42" s="101" t="s">
        <v>65</v>
      </c>
      <c r="C42" s="100">
        <f>SUM(C43:C47)</f>
        <v>5</v>
      </c>
      <c r="D42" s="100">
        <f>SUM(D43:D47)</f>
        <v>5</v>
      </c>
      <c r="E42" s="100">
        <f>SUM(E43:E47)</f>
        <v>5</v>
      </c>
      <c r="F42" s="382">
        <f>SUM(F43:F47)</f>
        <v>2</v>
      </c>
      <c r="G42" s="382">
        <f>SUM(G43:G47)</f>
        <v>3</v>
      </c>
      <c r="H42" s="670"/>
      <c r="I42" s="670"/>
    </row>
    <row r="43" spans="1:9" ht="14.25">
      <c r="A43" s="103">
        <v>30</v>
      </c>
      <c r="B43" s="104" t="s">
        <v>88</v>
      </c>
      <c r="C43" s="105">
        <v>1</v>
      </c>
      <c r="D43" s="105">
        <v>1</v>
      </c>
      <c r="E43" s="105">
        <v>1</v>
      </c>
      <c r="F43" s="439"/>
      <c r="G43" s="439">
        <v>1</v>
      </c>
      <c r="H43" s="667" t="s">
        <v>519</v>
      </c>
      <c r="I43" s="667" t="s">
        <v>510</v>
      </c>
    </row>
    <row r="44" spans="1:9" ht="14.25">
      <c r="A44" s="106">
        <v>31</v>
      </c>
      <c r="B44" s="107" t="s">
        <v>89</v>
      </c>
      <c r="C44" s="108">
        <v>1</v>
      </c>
      <c r="D44" s="108">
        <v>1</v>
      </c>
      <c r="E44" s="108">
        <v>1</v>
      </c>
      <c r="F44" s="440"/>
      <c r="G44" s="440">
        <v>1</v>
      </c>
      <c r="H44" s="668" t="s">
        <v>514</v>
      </c>
      <c r="I44" s="668" t="s">
        <v>515</v>
      </c>
    </row>
    <row r="45" spans="1:9" ht="14.25">
      <c r="A45" s="106">
        <v>32</v>
      </c>
      <c r="B45" s="107" t="s">
        <v>197</v>
      </c>
      <c r="C45" s="108">
        <v>1</v>
      </c>
      <c r="D45" s="108">
        <v>1</v>
      </c>
      <c r="E45" s="108">
        <v>1</v>
      </c>
      <c r="F45" s="440">
        <v>1</v>
      </c>
      <c r="G45" s="440"/>
      <c r="H45" s="668" t="s">
        <v>521</v>
      </c>
      <c r="I45" s="668" t="s">
        <v>506</v>
      </c>
    </row>
    <row r="46" spans="1:9" ht="14.25">
      <c r="A46" s="106">
        <v>33</v>
      </c>
      <c r="B46" s="107" t="s">
        <v>90</v>
      </c>
      <c r="C46" s="108">
        <v>1</v>
      </c>
      <c r="D46" s="108">
        <v>1</v>
      </c>
      <c r="E46" s="108">
        <v>1</v>
      </c>
      <c r="F46" s="440">
        <v>1</v>
      </c>
      <c r="G46" s="440"/>
      <c r="H46" s="668" t="s">
        <v>513</v>
      </c>
      <c r="I46" s="668" t="s">
        <v>506</v>
      </c>
    </row>
    <row r="47" spans="1:9" ht="14.25">
      <c r="A47" s="109">
        <v>34</v>
      </c>
      <c r="B47" s="110" t="s">
        <v>91</v>
      </c>
      <c r="C47" s="111">
        <v>1</v>
      </c>
      <c r="D47" s="111">
        <v>1</v>
      </c>
      <c r="E47" s="111">
        <v>1</v>
      </c>
      <c r="F47" s="441"/>
      <c r="G47" s="441">
        <v>1</v>
      </c>
      <c r="H47" s="669" t="s">
        <v>511</v>
      </c>
      <c r="I47" s="669" t="s">
        <v>506</v>
      </c>
    </row>
    <row r="48" spans="1:9" s="102" customFormat="1" ht="14.25">
      <c r="A48" s="112" t="s">
        <v>196</v>
      </c>
      <c r="B48" s="101" t="s">
        <v>66</v>
      </c>
      <c r="C48" s="100">
        <f>SUM(C49:C52)</f>
        <v>4</v>
      </c>
      <c r="D48" s="100">
        <f>SUM(D49:D52)</f>
        <v>4</v>
      </c>
      <c r="E48" s="100">
        <f>SUM(E49:E52)</f>
        <v>2</v>
      </c>
      <c r="F48" s="382">
        <f>SUM(F49:F52)</f>
        <v>0</v>
      </c>
      <c r="G48" s="382">
        <f>SUM(G49:G52)</f>
        <v>2</v>
      </c>
      <c r="H48" s="670"/>
      <c r="I48" s="670"/>
    </row>
    <row r="49" spans="1:9" ht="14.25">
      <c r="A49" s="103">
        <v>35</v>
      </c>
      <c r="B49" s="104" t="s">
        <v>92</v>
      </c>
      <c r="C49" s="105">
        <v>1</v>
      </c>
      <c r="D49" s="105">
        <v>1</v>
      </c>
      <c r="E49" s="105">
        <v>1</v>
      </c>
      <c r="F49" s="439"/>
      <c r="G49" s="439">
        <v>1</v>
      </c>
      <c r="H49" s="667" t="s">
        <v>516</v>
      </c>
      <c r="I49" s="667" t="s">
        <v>504</v>
      </c>
    </row>
    <row r="50" spans="1:9" ht="14.25">
      <c r="A50" s="106">
        <v>36</v>
      </c>
      <c r="B50" s="107" t="s">
        <v>93</v>
      </c>
      <c r="C50" s="108">
        <v>1</v>
      </c>
      <c r="D50" s="108">
        <v>1</v>
      </c>
      <c r="E50" s="108">
        <v>1</v>
      </c>
      <c r="F50" s="440"/>
      <c r="G50" s="440">
        <v>1</v>
      </c>
      <c r="H50" s="668" t="s">
        <v>529</v>
      </c>
      <c r="I50" s="668" t="s">
        <v>506</v>
      </c>
    </row>
    <row r="51" spans="1:9" ht="14.25">
      <c r="A51" s="114">
        <v>37</v>
      </c>
      <c r="B51" s="115" t="s">
        <v>119</v>
      </c>
      <c r="C51" s="116">
        <v>1</v>
      </c>
      <c r="D51" s="116">
        <v>1</v>
      </c>
      <c r="E51" s="117"/>
      <c r="F51" s="443"/>
      <c r="G51" s="444"/>
      <c r="H51" s="672"/>
      <c r="I51" s="673"/>
    </row>
    <row r="52" spans="1:9" ht="16.5" customHeight="1">
      <c r="A52" s="109">
        <v>38</v>
      </c>
      <c r="B52" s="110" t="s">
        <v>198</v>
      </c>
      <c r="C52" s="111">
        <v>1</v>
      </c>
      <c r="D52" s="111">
        <v>1</v>
      </c>
      <c r="E52" s="118"/>
      <c r="F52" s="441"/>
      <c r="G52" s="445"/>
      <c r="H52" s="669" t="s">
        <v>537</v>
      </c>
      <c r="I52" s="674" t="s">
        <v>504</v>
      </c>
    </row>
    <row r="53" spans="1:9" s="102" customFormat="1" ht="14.25">
      <c r="A53" s="112" t="s">
        <v>318</v>
      </c>
      <c r="B53" s="119" t="s">
        <v>199</v>
      </c>
      <c r="C53" s="100">
        <f>SUM(C54:C55)</f>
        <v>2</v>
      </c>
      <c r="D53" s="100">
        <f>SUM(D54:D55)</f>
        <v>0</v>
      </c>
      <c r="E53" s="100">
        <f>SUM(E54:E55)</f>
        <v>0</v>
      </c>
      <c r="F53" s="382"/>
      <c r="G53" s="382"/>
      <c r="H53" s="670"/>
      <c r="I53" s="670"/>
    </row>
    <row r="54" spans="1:9" ht="14.25">
      <c r="A54" s="103">
        <v>39</v>
      </c>
      <c r="B54" s="104" t="s">
        <v>200</v>
      </c>
      <c r="C54" s="105">
        <v>1</v>
      </c>
      <c r="D54" s="105"/>
      <c r="E54" s="120"/>
      <c r="F54" s="439"/>
      <c r="G54" s="446"/>
      <c r="H54" s="439"/>
      <c r="I54" s="446"/>
    </row>
    <row r="55" spans="1:9" ht="14.25">
      <c r="A55" s="109">
        <v>40</v>
      </c>
      <c r="B55" s="110" t="s">
        <v>201</v>
      </c>
      <c r="C55" s="111">
        <v>1</v>
      </c>
      <c r="D55" s="111"/>
      <c r="E55" s="118"/>
      <c r="F55" s="441"/>
      <c r="G55" s="445"/>
      <c r="H55" s="441"/>
      <c r="I55" s="445"/>
    </row>
    <row r="56" spans="1:9" s="102" customFormat="1" ht="14.25">
      <c r="A56" s="121"/>
      <c r="B56" s="122" t="s">
        <v>60</v>
      </c>
      <c r="C56" s="123">
        <f>C6+C11+C26+C33+C42+C48+C53+C23</f>
        <v>40</v>
      </c>
      <c r="D56" s="123">
        <f>D6+D11+D26+D33+D42+D48+D53+D23</f>
        <v>36</v>
      </c>
      <c r="E56" s="123">
        <f>E6+E11+E26+E33+E42+E48+E53+E23</f>
        <v>32</v>
      </c>
      <c r="F56" s="123">
        <f>F6+F11+F26+F33+F42+F48+F53+F23</f>
        <v>7</v>
      </c>
      <c r="G56" s="123">
        <f>G6+G11+G26+G33+G42+G48+G53+G23</f>
        <v>25</v>
      </c>
      <c r="H56" s="670"/>
      <c r="I56" s="670"/>
    </row>
  </sheetData>
  <sheetProtection/>
  <mergeCells count="8">
    <mergeCell ref="H3:I3"/>
    <mergeCell ref="H4:I4"/>
    <mergeCell ref="A1:G1"/>
    <mergeCell ref="A4:A5"/>
    <mergeCell ref="B4:B5"/>
    <mergeCell ref="C4:E4"/>
    <mergeCell ref="F4:G4"/>
    <mergeCell ref="A2:G2"/>
  </mergeCells>
  <printOptions horizontalCentered="1"/>
  <pageMargins left="0.45" right="0.2" top="0.35" bottom="0.1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00390625" style="133" customWidth="1"/>
    <col min="2" max="2" width="14.00390625" style="133" customWidth="1"/>
    <col min="3" max="14" width="6.7109375" style="150" customWidth="1"/>
    <col min="15" max="15" width="9.140625" style="133" customWidth="1"/>
    <col min="16" max="16" width="10.28125" style="133" customWidth="1"/>
    <col min="17" max="19" width="9.140625" style="133" customWidth="1"/>
    <col min="20" max="20" width="10.140625" style="133" customWidth="1"/>
    <col min="21" max="16384" width="9.140625" style="133" customWidth="1"/>
  </cols>
  <sheetData>
    <row r="1" spans="1:14" ht="22.5" customHeight="1">
      <c r="A1" s="923" t="s">
        <v>403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</row>
    <row r="2" ht="15.75" customHeight="1"/>
    <row r="3" spans="1:14" ht="19.5" customHeight="1">
      <c r="A3" s="924" t="s">
        <v>0</v>
      </c>
      <c r="B3" s="926" t="s">
        <v>184</v>
      </c>
      <c r="C3" s="928" t="s">
        <v>206</v>
      </c>
      <c r="D3" s="929"/>
      <c r="E3" s="929"/>
      <c r="F3" s="930"/>
      <c r="G3" s="928" t="s">
        <v>207</v>
      </c>
      <c r="H3" s="929"/>
      <c r="I3" s="929"/>
      <c r="J3" s="930"/>
      <c r="K3" s="928" t="s">
        <v>208</v>
      </c>
      <c r="L3" s="929"/>
      <c r="M3" s="929"/>
      <c r="N3" s="930"/>
    </row>
    <row r="4" spans="1:17" ht="38.25">
      <c r="A4" s="925"/>
      <c r="B4" s="927"/>
      <c r="C4" s="134" t="s">
        <v>209</v>
      </c>
      <c r="D4" s="134" t="s">
        <v>210</v>
      </c>
      <c r="E4" s="134" t="s">
        <v>211</v>
      </c>
      <c r="F4" s="135" t="s">
        <v>212</v>
      </c>
      <c r="G4" s="134" t="s">
        <v>209</v>
      </c>
      <c r="H4" s="134" t="s">
        <v>210</v>
      </c>
      <c r="I4" s="134" t="s">
        <v>211</v>
      </c>
      <c r="J4" s="135" t="s">
        <v>212</v>
      </c>
      <c r="K4" s="134" t="s">
        <v>209</v>
      </c>
      <c r="L4" s="134" t="s">
        <v>210</v>
      </c>
      <c r="M4" s="134" t="s">
        <v>211</v>
      </c>
      <c r="N4" s="135" t="s">
        <v>212</v>
      </c>
      <c r="P4" s="133" t="s">
        <v>215</v>
      </c>
      <c r="Q4" s="133" t="s">
        <v>216</v>
      </c>
    </row>
    <row r="5" spans="1:17" s="139" customFormat="1" ht="17.25" customHeight="1">
      <c r="A5" s="136" t="s">
        <v>105</v>
      </c>
      <c r="B5" s="137" t="s">
        <v>61</v>
      </c>
      <c r="C5" s="138">
        <f>SUM(C6:C9)</f>
        <v>37</v>
      </c>
      <c r="D5" s="138">
        <f aca="true" t="shared" si="0" ref="D5:N5">SUM(D6:D9)</f>
        <v>7</v>
      </c>
      <c r="E5" s="138">
        <f t="shared" si="0"/>
        <v>9</v>
      </c>
      <c r="F5" s="138">
        <f t="shared" si="0"/>
        <v>53</v>
      </c>
      <c r="G5" s="138">
        <f t="shared" si="0"/>
        <v>25</v>
      </c>
      <c r="H5" s="138">
        <f t="shared" si="0"/>
        <v>7</v>
      </c>
      <c r="I5" s="138">
        <f t="shared" si="0"/>
        <v>0</v>
      </c>
      <c r="J5" s="138">
        <f t="shared" si="0"/>
        <v>32</v>
      </c>
      <c r="K5" s="138">
        <f t="shared" si="0"/>
        <v>12</v>
      </c>
      <c r="L5" s="138">
        <f t="shared" si="0"/>
        <v>0</v>
      </c>
      <c r="M5" s="138">
        <f t="shared" si="0"/>
        <v>9</v>
      </c>
      <c r="N5" s="138">
        <f t="shared" si="0"/>
        <v>21</v>
      </c>
      <c r="P5" s="139">
        <v>8</v>
      </c>
      <c r="Q5" s="139">
        <v>6</v>
      </c>
    </row>
    <row r="6" spans="1:14" s="286" customFormat="1" ht="17.25" customHeight="1">
      <c r="A6" s="145">
        <v>1</v>
      </c>
      <c r="B6" s="146" t="s">
        <v>68</v>
      </c>
      <c r="C6" s="287">
        <v>20</v>
      </c>
      <c r="D6" s="287">
        <v>1</v>
      </c>
      <c r="E6" s="287">
        <v>0</v>
      </c>
      <c r="F6" s="287">
        <f>C6+D6+E6</f>
        <v>21</v>
      </c>
      <c r="G6" s="287">
        <v>10</v>
      </c>
      <c r="H6" s="287">
        <v>1</v>
      </c>
      <c r="I6" s="287">
        <v>0</v>
      </c>
      <c r="J6" s="287">
        <f>G6+H6+I6</f>
        <v>11</v>
      </c>
      <c r="K6" s="287">
        <f>C6-G6</f>
        <v>10</v>
      </c>
      <c r="L6" s="287">
        <f>D6-H6</f>
        <v>0</v>
      </c>
      <c r="M6" s="287">
        <f>E6-I6</f>
        <v>0</v>
      </c>
      <c r="N6" s="287">
        <f>K6+L6+M6</f>
        <v>10</v>
      </c>
    </row>
    <row r="7" spans="1:14" s="286" customFormat="1" ht="17.25" customHeight="1">
      <c r="A7" s="282">
        <f>A6+1</f>
        <v>2</v>
      </c>
      <c r="B7" s="288" t="s">
        <v>106</v>
      </c>
      <c r="C7" s="285">
        <v>5</v>
      </c>
      <c r="D7" s="285">
        <v>0</v>
      </c>
      <c r="E7" s="285">
        <v>0</v>
      </c>
      <c r="F7" s="285">
        <f>C7+D7+E7</f>
        <v>5</v>
      </c>
      <c r="G7" s="285">
        <v>5</v>
      </c>
      <c r="H7" s="285">
        <v>0</v>
      </c>
      <c r="I7" s="285">
        <v>0</v>
      </c>
      <c r="J7" s="285">
        <f>G7+H7+I7</f>
        <v>5</v>
      </c>
      <c r="K7" s="285">
        <f aca="true" t="shared" si="1" ref="K7:M9">C7-G7</f>
        <v>0</v>
      </c>
      <c r="L7" s="285">
        <f t="shared" si="1"/>
        <v>0</v>
      </c>
      <c r="M7" s="285">
        <f t="shared" si="1"/>
        <v>0</v>
      </c>
      <c r="N7" s="285">
        <f>K7+L7+M7</f>
        <v>0</v>
      </c>
    </row>
    <row r="8" spans="1:14" s="286" customFormat="1" ht="17.25" customHeight="1">
      <c r="A8" s="282">
        <f>A7+1</f>
        <v>3</v>
      </c>
      <c r="B8" s="288" t="s">
        <v>67</v>
      </c>
      <c r="C8" s="285">
        <v>7</v>
      </c>
      <c r="D8" s="285">
        <v>3</v>
      </c>
      <c r="E8" s="285">
        <v>0</v>
      </c>
      <c r="F8" s="285">
        <f>C8+D8+E8</f>
        <v>10</v>
      </c>
      <c r="G8" s="285">
        <v>5</v>
      </c>
      <c r="H8" s="285">
        <v>3</v>
      </c>
      <c r="I8" s="285">
        <v>0</v>
      </c>
      <c r="J8" s="285">
        <f>G8+H8+I8</f>
        <v>8</v>
      </c>
      <c r="K8" s="285">
        <f t="shared" si="1"/>
        <v>2</v>
      </c>
      <c r="L8" s="285">
        <f t="shared" si="1"/>
        <v>0</v>
      </c>
      <c r="M8" s="285">
        <f t="shared" si="1"/>
        <v>0</v>
      </c>
      <c r="N8" s="285">
        <f>K8+L8+M8</f>
        <v>2</v>
      </c>
    </row>
    <row r="9" spans="1:14" s="286" customFormat="1" ht="17.25" customHeight="1">
      <c r="A9" s="289">
        <f>A8+1</f>
        <v>4</v>
      </c>
      <c r="B9" s="283" t="s">
        <v>70</v>
      </c>
      <c r="C9" s="284">
        <v>5</v>
      </c>
      <c r="D9" s="284">
        <v>3</v>
      </c>
      <c r="E9" s="284">
        <v>9</v>
      </c>
      <c r="F9" s="284">
        <f>C9+D9+E9</f>
        <v>17</v>
      </c>
      <c r="G9" s="284">
        <v>5</v>
      </c>
      <c r="H9" s="284">
        <v>3</v>
      </c>
      <c r="I9" s="284">
        <v>0</v>
      </c>
      <c r="J9" s="284">
        <f>G9+H9+I9</f>
        <v>8</v>
      </c>
      <c r="K9" s="284">
        <f t="shared" si="1"/>
        <v>0</v>
      </c>
      <c r="L9" s="284">
        <f t="shared" si="1"/>
        <v>0</v>
      </c>
      <c r="M9" s="284">
        <f t="shared" si="1"/>
        <v>9</v>
      </c>
      <c r="N9" s="284">
        <f>K9+L9+M9</f>
        <v>9</v>
      </c>
    </row>
    <row r="10" spans="1:14" s="293" customFormat="1" ht="17.25" customHeight="1">
      <c r="A10" s="290" t="s">
        <v>107</v>
      </c>
      <c r="B10" s="291" t="s">
        <v>62</v>
      </c>
      <c r="C10" s="292">
        <f>SUM(C11:C17)</f>
        <v>71</v>
      </c>
      <c r="D10" s="292">
        <f aca="true" t="shared" si="2" ref="D10:N10">SUM(D11:D17)</f>
        <v>15</v>
      </c>
      <c r="E10" s="292">
        <f t="shared" si="2"/>
        <v>48</v>
      </c>
      <c r="F10" s="292">
        <f t="shared" si="2"/>
        <v>134</v>
      </c>
      <c r="G10" s="292">
        <f t="shared" si="2"/>
        <v>59</v>
      </c>
      <c r="H10" s="292">
        <f t="shared" si="2"/>
        <v>12</v>
      </c>
      <c r="I10" s="292">
        <f t="shared" si="2"/>
        <v>26</v>
      </c>
      <c r="J10" s="292">
        <f t="shared" si="2"/>
        <v>97</v>
      </c>
      <c r="K10" s="292">
        <f t="shared" si="2"/>
        <v>12</v>
      </c>
      <c r="L10" s="292">
        <f t="shared" si="2"/>
        <v>3</v>
      </c>
      <c r="M10" s="292">
        <f t="shared" si="2"/>
        <v>22</v>
      </c>
      <c r="N10" s="292">
        <f t="shared" si="2"/>
        <v>37</v>
      </c>
    </row>
    <row r="11" spans="1:14" s="286" customFormat="1" ht="17.25" customHeight="1">
      <c r="A11" s="145">
        <v>5</v>
      </c>
      <c r="B11" s="146" t="s">
        <v>71</v>
      </c>
      <c r="C11" s="287">
        <v>9</v>
      </c>
      <c r="D11" s="287">
        <v>2</v>
      </c>
      <c r="E11" s="287">
        <v>0</v>
      </c>
      <c r="F11" s="287">
        <f aca="true" t="shared" si="3" ref="F11:F23">C11+D11+E11</f>
        <v>11</v>
      </c>
      <c r="G11" s="287">
        <v>9</v>
      </c>
      <c r="H11" s="287">
        <v>2</v>
      </c>
      <c r="I11" s="287">
        <v>0</v>
      </c>
      <c r="J11" s="287">
        <f aca="true" t="shared" si="4" ref="J11:J23">G11+H11+I11</f>
        <v>11</v>
      </c>
      <c r="K11" s="287">
        <f aca="true" t="shared" si="5" ref="K11:M35">C11-G11</f>
        <v>0</v>
      </c>
      <c r="L11" s="287">
        <f t="shared" si="5"/>
        <v>0</v>
      </c>
      <c r="M11" s="287">
        <f t="shared" si="5"/>
        <v>0</v>
      </c>
      <c r="N11" s="287">
        <f aca="true" t="shared" si="6" ref="N11:N35">K11+L11+M11</f>
        <v>0</v>
      </c>
    </row>
    <row r="12" spans="1:14" s="286" customFormat="1" ht="17.25" customHeight="1">
      <c r="A12" s="282">
        <f aca="true" t="shared" si="7" ref="A12:A17">A11+1</f>
        <v>6</v>
      </c>
      <c r="B12" s="288" t="s">
        <v>72</v>
      </c>
      <c r="C12" s="285">
        <v>29</v>
      </c>
      <c r="D12" s="285">
        <v>1</v>
      </c>
      <c r="E12" s="285">
        <v>48</v>
      </c>
      <c r="F12" s="285">
        <f t="shared" si="3"/>
        <v>78</v>
      </c>
      <c r="G12" s="285">
        <v>29</v>
      </c>
      <c r="H12" s="285">
        <v>1</v>
      </c>
      <c r="I12" s="285">
        <v>26</v>
      </c>
      <c r="J12" s="285">
        <f t="shared" si="4"/>
        <v>56</v>
      </c>
      <c r="K12" s="285">
        <f t="shared" si="5"/>
        <v>0</v>
      </c>
      <c r="L12" s="285">
        <f t="shared" si="5"/>
        <v>0</v>
      </c>
      <c r="M12" s="285">
        <f t="shared" si="5"/>
        <v>22</v>
      </c>
      <c r="N12" s="285">
        <f t="shared" si="6"/>
        <v>22</v>
      </c>
    </row>
    <row r="13" spans="1:14" s="286" customFormat="1" ht="17.25" customHeight="1">
      <c r="A13" s="282">
        <f t="shared" si="7"/>
        <v>7</v>
      </c>
      <c r="B13" s="288" t="s">
        <v>108</v>
      </c>
      <c r="C13" s="285">
        <v>0</v>
      </c>
      <c r="D13" s="285">
        <v>1</v>
      </c>
      <c r="E13" s="285">
        <v>0</v>
      </c>
      <c r="F13" s="285">
        <f t="shared" si="3"/>
        <v>1</v>
      </c>
      <c r="G13" s="285">
        <v>0</v>
      </c>
      <c r="H13" s="285">
        <v>0</v>
      </c>
      <c r="I13" s="285">
        <v>0</v>
      </c>
      <c r="J13" s="285">
        <f t="shared" si="4"/>
        <v>0</v>
      </c>
      <c r="K13" s="285">
        <f t="shared" si="5"/>
        <v>0</v>
      </c>
      <c r="L13" s="285">
        <f t="shared" si="5"/>
        <v>1</v>
      </c>
      <c r="M13" s="285">
        <f t="shared" si="5"/>
        <v>0</v>
      </c>
      <c r="N13" s="285">
        <f t="shared" si="6"/>
        <v>1</v>
      </c>
    </row>
    <row r="14" spans="1:14" s="286" customFormat="1" ht="17.25" customHeight="1">
      <c r="A14" s="282">
        <f t="shared" si="7"/>
        <v>8</v>
      </c>
      <c r="B14" s="288" t="s">
        <v>73</v>
      </c>
      <c r="C14" s="285">
        <v>21</v>
      </c>
      <c r="D14" s="285">
        <v>11</v>
      </c>
      <c r="E14" s="285">
        <v>0</v>
      </c>
      <c r="F14" s="285">
        <f t="shared" si="3"/>
        <v>32</v>
      </c>
      <c r="G14" s="285">
        <v>21</v>
      </c>
      <c r="H14" s="285">
        <v>9</v>
      </c>
      <c r="I14" s="285">
        <v>0</v>
      </c>
      <c r="J14" s="285">
        <f t="shared" si="4"/>
        <v>30</v>
      </c>
      <c r="K14" s="285">
        <f t="shared" si="5"/>
        <v>0</v>
      </c>
      <c r="L14" s="285">
        <f t="shared" si="5"/>
        <v>2</v>
      </c>
      <c r="M14" s="285">
        <f t="shared" si="5"/>
        <v>0</v>
      </c>
      <c r="N14" s="285">
        <f t="shared" si="6"/>
        <v>2</v>
      </c>
    </row>
    <row r="15" spans="1:14" s="286" customFormat="1" ht="17.25" customHeight="1">
      <c r="A15" s="282">
        <f t="shared" si="7"/>
        <v>9</v>
      </c>
      <c r="B15" s="288" t="s">
        <v>75</v>
      </c>
      <c r="C15" s="285">
        <v>12</v>
      </c>
      <c r="D15" s="285"/>
      <c r="E15" s="285"/>
      <c r="F15" s="285">
        <f t="shared" si="3"/>
        <v>12</v>
      </c>
      <c r="G15" s="285"/>
      <c r="H15" s="285"/>
      <c r="I15" s="285"/>
      <c r="J15" s="285">
        <f t="shared" si="4"/>
        <v>0</v>
      </c>
      <c r="K15" s="285">
        <f t="shared" si="5"/>
        <v>12</v>
      </c>
      <c r="L15" s="285">
        <f t="shared" si="5"/>
        <v>0</v>
      </c>
      <c r="M15" s="285">
        <f t="shared" si="5"/>
        <v>0</v>
      </c>
      <c r="N15" s="285">
        <f t="shared" si="6"/>
        <v>12</v>
      </c>
    </row>
    <row r="16" spans="1:14" s="286" customFormat="1" ht="17.25" customHeight="1">
      <c r="A16" s="282">
        <f t="shared" si="7"/>
        <v>10</v>
      </c>
      <c r="B16" s="288" t="s">
        <v>109</v>
      </c>
      <c r="C16" s="285"/>
      <c r="D16" s="285"/>
      <c r="E16" s="285"/>
      <c r="F16" s="285">
        <f t="shared" si="3"/>
        <v>0</v>
      </c>
      <c r="G16" s="285"/>
      <c r="H16" s="285"/>
      <c r="I16" s="285"/>
      <c r="J16" s="285">
        <f t="shared" si="4"/>
        <v>0</v>
      </c>
      <c r="K16" s="285">
        <f t="shared" si="5"/>
        <v>0</v>
      </c>
      <c r="L16" s="285">
        <f t="shared" si="5"/>
        <v>0</v>
      </c>
      <c r="M16" s="285">
        <f t="shared" si="5"/>
        <v>0</v>
      </c>
      <c r="N16" s="285">
        <f t="shared" si="6"/>
        <v>0</v>
      </c>
    </row>
    <row r="17" spans="1:14" s="286" customFormat="1" ht="17.25" customHeight="1">
      <c r="A17" s="289">
        <f t="shared" si="7"/>
        <v>11</v>
      </c>
      <c r="B17" s="283" t="s">
        <v>77</v>
      </c>
      <c r="C17" s="284"/>
      <c r="D17" s="284"/>
      <c r="E17" s="284"/>
      <c r="F17" s="284">
        <f t="shared" si="3"/>
        <v>0</v>
      </c>
      <c r="G17" s="284"/>
      <c r="H17" s="284"/>
      <c r="I17" s="284"/>
      <c r="J17" s="284">
        <f t="shared" si="4"/>
        <v>0</v>
      </c>
      <c r="K17" s="284">
        <f t="shared" si="5"/>
        <v>0</v>
      </c>
      <c r="L17" s="284">
        <f t="shared" si="5"/>
        <v>0</v>
      </c>
      <c r="M17" s="284">
        <f t="shared" si="5"/>
        <v>0</v>
      </c>
      <c r="N17" s="284">
        <f t="shared" si="6"/>
        <v>0</v>
      </c>
    </row>
    <row r="18" spans="1:14" s="293" customFormat="1" ht="17.25" customHeight="1">
      <c r="A18" s="290" t="s">
        <v>110</v>
      </c>
      <c r="B18" s="291" t="s">
        <v>63</v>
      </c>
      <c r="C18" s="292">
        <f>SUM(C19:C23)</f>
        <v>20</v>
      </c>
      <c r="D18" s="292">
        <f aca="true" t="shared" si="8" ref="D18:N18">SUM(D19:D23)</f>
        <v>19</v>
      </c>
      <c r="E18" s="292">
        <f t="shared" si="8"/>
        <v>6</v>
      </c>
      <c r="F18" s="292">
        <f t="shared" si="8"/>
        <v>45</v>
      </c>
      <c r="G18" s="292">
        <f t="shared" si="8"/>
        <v>14</v>
      </c>
      <c r="H18" s="292">
        <f t="shared" si="8"/>
        <v>15</v>
      </c>
      <c r="I18" s="292">
        <f t="shared" si="8"/>
        <v>2</v>
      </c>
      <c r="J18" s="292">
        <f t="shared" si="8"/>
        <v>31</v>
      </c>
      <c r="K18" s="292">
        <f t="shared" si="8"/>
        <v>6</v>
      </c>
      <c r="L18" s="292">
        <f t="shared" si="8"/>
        <v>4</v>
      </c>
      <c r="M18" s="292">
        <f t="shared" si="8"/>
        <v>4</v>
      </c>
      <c r="N18" s="292">
        <f t="shared" si="8"/>
        <v>14</v>
      </c>
    </row>
    <row r="19" spans="1:14" s="286" customFormat="1" ht="17.25" customHeight="1">
      <c r="A19" s="145">
        <v>12</v>
      </c>
      <c r="B19" s="146" t="s">
        <v>78</v>
      </c>
      <c r="C19" s="287">
        <v>1</v>
      </c>
      <c r="D19" s="287">
        <v>8</v>
      </c>
      <c r="E19" s="287">
        <v>4</v>
      </c>
      <c r="F19" s="287">
        <f t="shared" si="3"/>
        <v>13</v>
      </c>
      <c r="G19" s="287">
        <v>1</v>
      </c>
      <c r="H19" s="287">
        <v>4</v>
      </c>
      <c r="I19" s="287">
        <v>1</v>
      </c>
      <c r="J19" s="287">
        <f t="shared" si="4"/>
        <v>6</v>
      </c>
      <c r="K19" s="287">
        <f t="shared" si="5"/>
        <v>0</v>
      </c>
      <c r="L19" s="287">
        <f t="shared" si="5"/>
        <v>4</v>
      </c>
      <c r="M19" s="287">
        <f t="shared" si="5"/>
        <v>3</v>
      </c>
      <c r="N19" s="287">
        <f t="shared" si="6"/>
        <v>7</v>
      </c>
    </row>
    <row r="20" spans="1:14" s="286" customFormat="1" ht="17.25" customHeight="1">
      <c r="A20" s="282">
        <v>13</v>
      </c>
      <c r="B20" s="288" t="s">
        <v>79</v>
      </c>
      <c r="C20" s="285">
        <v>8</v>
      </c>
      <c r="D20" s="285">
        <v>3</v>
      </c>
      <c r="E20" s="285">
        <v>0</v>
      </c>
      <c r="F20" s="285">
        <f t="shared" si="3"/>
        <v>11</v>
      </c>
      <c r="G20" s="285">
        <v>7</v>
      </c>
      <c r="H20" s="285">
        <v>3</v>
      </c>
      <c r="I20" s="285">
        <v>0</v>
      </c>
      <c r="J20" s="285">
        <f t="shared" si="4"/>
        <v>10</v>
      </c>
      <c r="K20" s="285">
        <f t="shared" si="5"/>
        <v>1</v>
      </c>
      <c r="L20" s="285">
        <f t="shared" si="5"/>
        <v>0</v>
      </c>
      <c r="M20" s="285">
        <f t="shared" si="5"/>
        <v>0</v>
      </c>
      <c r="N20" s="285">
        <f t="shared" si="6"/>
        <v>1</v>
      </c>
    </row>
    <row r="21" spans="1:14" s="286" customFormat="1" ht="17.25" customHeight="1">
      <c r="A21" s="282">
        <f>A20+1</f>
        <v>14</v>
      </c>
      <c r="B21" s="288" t="s">
        <v>111</v>
      </c>
      <c r="C21" s="285">
        <v>3</v>
      </c>
      <c r="D21" s="285">
        <v>6</v>
      </c>
      <c r="E21" s="285">
        <v>2</v>
      </c>
      <c r="F21" s="285">
        <f t="shared" si="3"/>
        <v>11</v>
      </c>
      <c r="G21" s="285">
        <v>2</v>
      </c>
      <c r="H21" s="285">
        <v>6</v>
      </c>
      <c r="I21" s="285">
        <v>1</v>
      </c>
      <c r="J21" s="285">
        <f t="shared" si="4"/>
        <v>9</v>
      </c>
      <c r="K21" s="285">
        <f t="shared" si="5"/>
        <v>1</v>
      </c>
      <c r="L21" s="285">
        <f t="shared" si="5"/>
        <v>0</v>
      </c>
      <c r="M21" s="285">
        <f t="shared" si="5"/>
        <v>1</v>
      </c>
      <c r="N21" s="285">
        <f t="shared" si="6"/>
        <v>2</v>
      </c>
    </row>
    <row r="22" spans="1:14" s="286" customFormat="1" ht="17.25" customHeight="1">
      <c r="A22" s="282">
        <f>A21+1</f>
        <v>15</v>
      </c>
      <c r="B22" s="288" t="s">
        <v>112</v>
      </c>
      <c r="C22" s="285">
        <v>5</v>
      </c>
      <c r="D22" s="285">
        <v>1</v>
      </c>
      <c r="E22" s="285"/>
      <c r="F22" s="285">
        <f t="shared" si="3"/>
        <v>6</v>
      </c>
      <c r="G22" s="285">
        <v>1</v>
      </c>
      <c r="H22" s="285">
        <v>1</v>
      </c>
      <c r="I22" s="285">
        <v>0</v>
      </c>
      <c r="J22" s="285">
        <f t="shared" si="4"/>
        <v>2</v>
      </c>
      <c r="K22" s="285">
        <f t="shared" si="5"/>
        <v>4</v>
      </c>
      <c r="L22" s="285">
        <f t="shared" si="5"/>
        <v>0</v>
      </c>
      <c r="M22" s="285">
        <f t="shared" si="5"/>
        <v>0</v>
      </c>
      <c r="N22" s="285">
        <f t="shared" si="6"/>
        <v>4</v>
      </c>
    </row>
    <row r="23" spans="1:14" s="286" customFormat="1" ht="17.25" customHeight="1">
      <c r="A23" s="289">
        <f>A22+1</f>
        <v>16</v>
      </c>
      <c r="B23" s="283" t="s">
        <v>81</v>
      </c>
      <c r="C23" s="284">
        <v>3</v>
      </c>
      <c r="D23" s="284">
        <v>1</v>
      </c>
      <c r="E23" s="284">
        <v>0</v>
      </c>
      <c r="F23" s="284">
        <f t="shared" si="3"/>
        <v>4</v>
      </c>
      <c r="G23" s="284">
        <v>3</v>
      </c>
      <c r="H23" s="284">
        <v>1</v>
      </c>
      <c r="I23" s="284">
        <v>0</v>
      </c>
      <c r="J23" s="284">
        <f t="shared" si="4"/>
        <v>4</v>
      </c>
      <c r="K23" s="284">
        <f t="shared" si="5"/>
        <v>0</v>
      </c>
      <c r="L23" s="284">
        <f t="shared" si="5"/>
        <v>0</v>
      </c>
      <c r="M23" s="284">
        <f t="shared" si="5"/>
        <v>0</v>
      </c>
      <c r="N23" s="284">
        <f t="shared" si="6"/>
        <v>0</v>
      </c>
    </row>
    <row r="24" spans="1:14" s="293" customFormat="1" ht="17.25" customHeight="1">
      <c r="A24" s="290" t="s">
        <v>113</v>
      </c>
      <c r="B24" s="291" t="s">
        <v>64</v>
      </c>
      <c r="C24" s="294">
        <f>SUM(C25:C30)</f>
        <v>26</v>
      </c>
      <c r="D24" s="294">
        <f aca="true" t="shared" si="9" ref="D24:N24">SUM(D25:D30)</f>
        <v>16</v>
      </c>
      <c r="E24" s="294">
        <f t="shared" si="9"/>
        <v>4</v>
      </c>
      <c r="F24" s="294">
        <f t="shared" si="9"/>
        <v>46</v>
      </c>
      <c r="G24" s="294">
        <f t="shared" si="9"/>
        <v>23</v>
      </c>
      <c r="H24" s="294">
        <f t="shared" si="9"/>
        <v>11</v>
      </c>
      <c r="I24" s="294">
        <f t="shared" si="9"/>
        <v>1</v>
      </c>
      <c r="J24" s="294">
        <f t="shared" si="9"/>
        <v>35</v>
      </c>
      <c r="K24" s="294">
        <f t="shared" si="9"/>
        <v>3</v>
      </c>
      <c r="L24" s="294">
        <f t="shared" si="9"/>
        <v>5</v>
      </c>
      <c r="M24" s="294">
        <f t="shared" si="9"/>
        <v>3</v>
      </c>
      <c r="N24" s="294">
        <f t="shared" si="9"/>
        <v>11</v>
      </c>
    </row>
    <row r="25" spans="1:14" s="286" customFormat="1" ht="17.25" customHeight="1">
      <c r="A25" s="145">
        <v>17</v>
      </c>
      <c r="B25" s="146" t="s">
        <v>114</v>
      </c>
      <c r="C25" s="287">
        <v>18</v>
      </c>
      <c r="D25" s="287">
        <v>4</v>
      </c>
      <c r="E25" s="287">
        <v>1</v>
      </c>
      <c r="F25" s="285">
        <f aca="true" t="shared" si="10" ref="F25:F30">C25+D25+E25</f>
        <v>23</v>
      </c>
      <c r="G25" s="287">
        <v>17</v>
      </c>
      <c r="H25" s="287">
        <v>4</v>
      </c>
      <c r="I25" s="287">
        <v>0</v>
      </c>
      <c r="J25" s="285">
        <f aca="true" t="shared" si="11" ref="J25:J30">G25+H25+I25</f>
        <v>21</v>
      </c>
      <c r="K25" s="287">
        <f t="shared" si="5"/>
        <v>1</v>
      </c>
      <c r="L25" s="287">
        <f t="shared" si="5"/>
        <v>0</v>
      </c>
      <c r="M25" s="287">
        <f t="shared" si="5"/>
        <v>1</v>
      </c>
      <c r="N25" s="287">
        <f t="shared" si="6"/>
        <v>2</v>
      </c>
    </row>
    <row r="26" spans="1:14" s="286" customFormat="1" ht="17.25" customHeight="1">
      <c r="A26" s="282">
        <f>A25+1</f>
        <v>18</v>
      </c>
      <c r="B26" s="288" t="s">
        <v>115</v>
      </c>
      <c r="C26" s="285">
        <v>5</v>
      </c>
      <c r="D26" s="285">
        <v>3</v>
      </c>
      <c r="E26" s="285">
        <v>0</v>
      </c>
      <c r="F26" s="285">
        <f t="shared" si="10"/>
        <v>8</v>
      </c>
      <c r="G26" s="285">
        <v>4</v>
      </c>
      <c r="H26" s="285">
        <v>1</v>
      </c>
      <c r="I26" s="285">
        <v>0</v>
      </c>
      <c r="J26" s="285">
        <f t="shared" si="11"/>
        <v>5</v>
      </c>
      <c r="K26" s="285">
        <f t="shared" si="5"/>
        <v>1</v>
      </c>
      <c r="L26" s="285">
        <f t="shared" si="5"/>
        <v>2</v>
      </c>
      <c r="M26" s="285">
        <f t="shared" si="5"/>
        <v>0</v>
      </c>
      <c r="N26" s="285">
        <f t="shared" si="6"/>
        <v>3</v>
      </c>
    </row>
    <row r="27" spans="1:14" s="286" customFormat="1" ht="17.25" customHeight="1">
      <c r="A27" s="282">
        <f>A26+1</f>
        <v>19</v>
      </c>
      <c r="B27" s="288" t="s">
        <v>84</v>
      </c>
      <c r="C27" s="285">
        <v>0</v>
      </c>
      <c r="D27" s="285">
        <v>2</v>
      </c>
      <c r="E27" s="285">
        <v>3</v>
      </c>
      <c r="F27" s="285">
        <f t="shared" si="10"/>
        <v>5</v>
      </c>
      <c r="G27" s="285">
        <v>0</v>
      </c>
      <c r="H27" s="285">
        <v>1</v>
      </c>
      <c r="I27" s="285">
        <v>1</v>
      </c>
      <c r="J27" s="285">
        <f t="shared" si="11"/>
        <v>2</v>
      </c>
      <c r="K27" s="285">
        <f t="shared" si="5"/>
        <v>0</v>
      </c>
      <c r="L27" s="285">
        <f t="shared" si="5"/>
        <v>1</v>
      </c>
      <c r="M27" s="285">
        <f t="shared" si="5"/>
        <v>2</v>
      </c>
      <c r="N27" s="285">
        <f t="shared" si="6"/>
        <v>3</v>
      </c>
    </row>
    <row r="28" spans="1:14" s="286" customFormat="1" ht="17.25" customHeight="1">
      <c r="A28" s="282">
        <f>A27+1</f>
        <v>20</v>
      </c>
      <c r="B28" s="288" t="s">
        <v>83</v>
      </c>
      <c r="C28" s="285">
        <v>0</v>
      </c>
      <c r="D28" s="285">
        <v>3</v>
      </c>
      <c r="E28" s="285">
        <v>0</v>
      </c>
      <c r="F28" s="285">
        <f t="shared" si="10"/>
        <v>3</v>
      </c>
      <c r="G28" s="285">
        <v>0</v>
      </c>
      <c r="H28" s="285">
        <v>1</v>
      </c>
      <c r="I28" s="285">
        <v>0</v>
      </c>
      <c r="J28" s="285">
        <f t="shared" si="11"/>
        <v>1</v>
      </c>
      <c r="K28" s="285">
        <f>C28-G28</f>
        <v>0</v>
      </c>
      <c r="L28" s="285">
        <f t="shared" si="5"/>
        <v>2</v>
      </c>
      <c r="M28" s="285">
        <f t="shared" si="5"/>
        <v>0</v>
      </c>
      <c r="N28" s="285">
        <f>K28+L28+M28</f>
        <v>2</v>
      </c>
    </row>
    <row r="29" spans="1:14" s="286" customFormat="1" ht="17.25" customHeight="1">
      <c r="A29" s="282">
        <f>A28+1</f>
        <v>21</v>
      </c>
      <c r="B29" s="288" t="s">
        <v>85</v>
      </c>
      <c r="C29" s="285">
        <v>1</v>
      </c>
      <c r="D29" s="285">
        <v>1</v>
      </c>
      <c r="E29" s="285">
        <v>0</v>
      </c>
      <c r="F29" s="285">
        <f t="shared" si="10"/>
        <v>2</v>
      </c>
      <c r="G29" s="285">
        <v>1</v>
      </c>
      <c r="H29" s="285">
        <v>1</v>
      </c>
      <c r="I29" s="285">
        <v>0</v>
      </c>
      <c r="J29" s="285">
        <f t="shared" si="11"/>
        <v>2</v>
      </c>
      <c r="K29" s="285">
        <f t="shared" si="5"/>
        <v>0</v>
      </c>
      <c r="L29" s="285">
        <f t="shared" si="5"/>
        <v>0</v>
      </c>
      <c r="M29" s="285">
        <f t="shared" si="5"/>
        <v>0</v>
      </c>
      <c r="N29" s="285">
        <f t="shared" si="6"/>
        <v>0</v>
      </c>
    </row>
    <row r="30" spans="1:14" s="286" customFormat="1" ht="17.25" customHeight="1">
      <c r="A30" s="282">
        <f>A29+1</f>
        <v>22</v>
      </c>
      <c r="B30" s="283" t="s">
        <v>86</v>
      </c>
      <c r="C30" s="284">
        <v>2</v>
      </c>
      <c r="D30" s="284">
        <v>3</v>
      </c>
      <c r="E30" s="284">
        <v>0</v>
      </c>
      <c r="F30" s="285">
        <f t="shared" si="10"/>
        <v>5</v>
      </c>
      <c r="G30" s="284">
        <v>1</v>
      </c>
      <c r="H30" s="284">
        <v>3</v>
      </c>
      <c r="I30" s="284">
        <v>0</v>
      </c>
      <c r="J30" s="285">
        <f t="shared" si="11"/>
        <v>4</v>
      </c>
      <c r="K30" s="284">
        <f t="shared" si="5"/>
        <v>1</v>
      </c>
      <c r="L30" s="284">
        <f t="shared" si="5"/>
        <v>0</v>
      </c>
      <c r="M30" s="284">
        <f t="shared" si="5"/>
        <v>0</v>
      </c>
      <c r="N30" s="284">
        <f t="shared" si="6"/>
        <v>1</v>
      </c>
    </row>
    <row r="31" spans="1:14" s="293" customFormat="1" ht="17.25" customHeight="1">
      <c r="A31" s="290" t="s">
        <v>117</v>
      </c>
      <c r="B31" s="291" t="s">
        <v>65</v>
      </c>
      <c r="C31" s="294">
        <f>SUM(C32:C36)</f>
        <v>79</v>
      </c>
      <c r="D31" s="294">
        <f aca="true" t="shared" si="12" ref="D31:N31">SUM(D32:D36)</f>
        <v>16</v>
      </c>
      <c r="E31" s="294">
        <f t="shared" si="12"/>
        <v>11</v>
      </c>
      <c r="F31" s="294">
        <f t="shared" si="12"/>
        <v>106</v>
      </c>
      <c r="G31" s="294">
        <f t="shared" si="12"/>
        <v>76</v>
      </c>
      <c r="H31" s="294">
        <f t="shared" si="12"/>
        <v>16</v>
      </c>
      <c r="I31" s="294">
        <f t="shared" si="12"/>
        <v>11</v>
      </c>
      <c r="J31" s="294">
        <f t="shared" si="12"/>
        <v>103</v>
      </c>
      <c r="K31" s="294">
        <f t="shared" si="12"/>
        <v>3</v>
      </c>
      <c r="L31" s="294">
        <f t="shared" si="12"/>
        <v>0</v>
      </c>
      <c r="M31" s="294">
        <f t="shared" si="12"/>
        <v>0</v>
      </c>
      <c r="N31" s="294">
        <f t="shared" si="12"/>
        <v>3</v>
      </c>
    </row>
    <row r="32" spans="1:14" s="286" customFormat="1" ht="17.25" customHeight="1">
      <c r="A32" s="145">
        <v>23</v>
      </c>
      <c r="B32" s="146" t="s">
        <v>87</v>
      </c>
      <c r="C32" s="287">
        <v>11</v>
      </c>
      <c r="D32" s="287">
        <v>0</v>
      </c>
      <c r="E32" s="287">
        <v>0</v>
      </c>
      <c r="F32" s="287">
        <f>C32+D32+E32</f>
        <v>11</v>
      </c>
      <c r="G32" s="287">
        <v>11</v>
      </c>
      <c r="H32" s="287">
        <v>0</v>
      </c>
      <c r="I32" s="287">
        <v>0</v>
      </c>
      <c r="J32" s="287">
        <f>G32+H32+I32</f>
        <v>11</v>
      </c>
      <c r="K32" s="287">
        <f t="shared" si="5"/>
        <v>0</v>
      </c>
      <c r="L32" s="287">
        <f t="shared" si="5"/>
        <v>0</v>
      </c>
      <c r="M32" s="287">
        <f t="shared" si="5"/>
        <v>0</v>
      </c>
      <c r="N32" s="287">
        <f t="shared" si="6"/>
        <v>0</v>
      </c>
    </row>
    <row r="33" spans="1:14" s="286" customFormat="1" ht="17.25" customHeight="1">
      <c r="A33" s="282">
        <f>A32+1</f>
        <v>24</v>
      </c>
      <c r="B33" s="288" t="s">
        <v>88</v>
      </c>
      <c r="C33" s="285">
        <v>9</v>
      </c>
      <c r="D33" s="285">
        <v>0</v>
      </c>
      <c r="E33" s="285">
        <v>0</v>
      </c>
      <c r="F33" s="285">
        <f>C33+D33+E33</f>
        <v>9</v>
      </c>
      <c r="G33" s="285">
        <v>8</v>
      </c>
      <c r="H33" s="285">
        <v>0</v>
      </c>
      <c r="I33" s="285">
        <v>0</v>
      </c>
      <c r="J33" s="285">
        <f>G33+H33+I33</f>
        <v>8</v>
      </c>
      <c r="K33" s="285">
        <f t="shared" si="5"/>
        <v>1</v>
      </c>
      <c r="L33" s="285">
        <f t="shared" si="5"/>
        <v>0</v>
      </c>
      <c r="M33" s="285">
        <f t="shared" si="5"/>
        <v>0</v>
      </c>
      <c r="N33" s="285">
        <f t="shared" si="6"/>
        <v>1</v>
      </c>
    </row>
    <row r="34" spans="1:14" s="286" customFormat="1" ht="17.25" customHeight="1">
      <c r="A34" s="282">
        <f>A33+1</f>
        <v>25</v>
      </c>
      <c r="B34" s="288" t="s">
        <v>89</v>
      </c>
      <c r="C34" s="285">
        <v>9</v>
      </c>
      <c r="D34" s="285">
        <v>2</v>
      </c>
      <c r="E34" s="285">
        <v>0</v>
      </c>
      <c r="F34" s="285">
        <f>C34+D34+E34</f>
        <v>11</v>
      </c>
      <c r="G34" s="285">
        <v>9</v>
      </c>
      <c r="H34" s="285">
        <v>2</v>
      </c>
      <c r="I34" s="285">
        <v>0</v>
      </c>
      <c r="J34" s="285">
        <f>G34+H34+I34</f>
        <v>11</v>
      </c>
      <c r="K34" s="285">
        <f t="shared" si="5"/>
        <v>0</v>
      </c>
      <c r="L34" s="285">
        <f t="shared" si="5"/>
        <v>0</v>
      </c>
      <c r="M34" s="285">
        <f t="shared" si="5"/>
        <v>0</v>
      </c>
      <c r="N34" s="285">
        <f t="shared" si="6"/>
        <v>0</v>
      </c>
    </row>
    <row r="35" spans="1:14" s="286" customFormat="1" ht="17.25" customHeight="1">
      <c r="A35" s="282">
        <f>A34+1</f>
        <v>26</v>
      </c>
      <c r="B35" s="288" t="s">
        <v>90</v>
      </c>
      <c r="C35" s="285">
        <v>34</v>
      </c>
      <c r="D35" s="285">
        <v>2</v>
      </c>
      <c r="E35" s="285">
        <v>0</v>
      </c>
      <c r="F35" s="285">
        <f>C35+D35+E35</f>
        <v>36</v>
      </c>
      <c r="G35" s="285">
        <v>34</v>
      </c>
      <c r="H35" s="285">
        <v>2</v>
      </c>
      <c r="I35" s="285">
        <v>0</v>
      </c>
      <c r="J35" s="285">
        <f>G35+H35+I35</f>
        <v>36</v>
      </c>
      <c r="K35" s="285">
        <f t="shared" si="5"/>
        <v>0</v>
      </c>
      <c r="L35" s="285">
        <f t="shared" si="5"/>
        <v>0</v>
      </c>
      <c r="M35" s="285">
        <f t="shared" si="5"/>
        <v>0</v>
      </c>
      <c r="N35" s="285">
        <f t="shared" si="6"/>
        <v>0</v>
      </c>
    </row>
    <row r="36" spans="1:14" s="286" customFormat="1" ht="17.25" customHeight="1">
      <c r="A36" s="289">
        <f>A35+1</f>
        <v>27</v>
      </c>
      <c r="B36" s="283" t="s">
        <v>91</v>
      </c>
      <c r="C36" s="284">
        <v>16</v>
      </c>
      <c r="D36" s="284">
        <v>12</v>
      </c>
      <c r="E36" s="284">
        <v>11</v>
      </c>
      <c r="F36" s="284">
        <f>C36+D36+E36</f>
        <v>39</v>
      </c>
      <c r="G36" s="284">
        <v>14</v>
      </c>
      <c r="H36" s="284">
        <v>12</v>
      </c>
      <c r="I36" s="284">
        <v>11</v>
      </c>
      <c r="J36" s="284">
        <f>G36+H36+I36</f>
        <v>37</v>
      </c>
      <c r="K36" s="284">
        <f>C36-G36</f>
        <v>2</v>
      </c>
      <c r="L36" s="284">
        <f>D36-H36</f>
        <v>0</v>
      </c>
      <c r="M36" s="284">
        <f>E36-I36</f>
        <v>0</v>
      </c>
      <c r="N36" s="284">
        <f>K36+L36+M36</f>
        <v>2</v>
      </c>
    </row>
    <row r="37" spans="1:14" s="139" customFormat="1" ht="17.25" customHeight="1">
      <c r="A37" s="143" t="s">
        <v>118</v>
      </c>
      <c r="B37" s="144" t="s">
        <v>66</v>
      </c>
      <c r="C37" s="135">
        <f aca="true" t="shared" si="13" ref="C37:N37">SUM(C38:C39)</f>
        <v>9</v>
      </c>
      <c r="D37" s="135">
        <f t="shared" si="13"/>
        <v>19</v>
      </c>
      <c r="E37" s="135">
        <f t="shared" si="13"/>
        <v>5</v>
      </c>
      <c r="F37" s="135">
        <f t="shared" si="13"/>
        <v>33</v>
      </c>
      <c r="G37" s="135">
        <f t="shared" si="13"/>
        <v>2</v>
      </c>
      <c r="H37" s="135">
        <f t="shared" si="13"/>
        <v>6</v>
      </c>
      <c r="I37" s="135">
        <f t="shared" si="13"/>
        <v>4</v>
      </c>
      <c r="J37" s="135">
        <f t="shared" si="13"/>
        <v>12</v>
      </c>
      <c r="K37" s="135">
        <f t="shared" si="13"/>
        <v>7</v>
      </c>
      <c r="L37" s="135">
        <f t="shared" si="13"/>
        <v>13</v>
      </c>
      <c r="M37" s="135">
        <f t="shared" si="13"/>
        <v>1</v>
      </c>
      <c r="N37" s="135">
        <f t="shared" si="13"/>
        <v>21</v>
      </c>
    </row>
    <row r="38" spans="1:14" ht="17.25" customHeight="1">
      <c r="A38" s="140">
        <v>28</v>
      </c>
      <c r="B38" s="141" t="s">
        <v>92</v>
      </c>
      <c r="C38" s="142">
        <v>2</v>
      </c>
      <c r="D38" s="142">
        <v>4</v>
      </c>
      <c r="E38" s="142">
        <v>2</v>
      </c>
      <c r="F38" s="142">
        <f>C38+D38+E38</f>
        <v>8</v>
      </c>
      <c r="G38" s="142">
        <v>2</v>
      </c>
      <c r="H38" s="142">
        <v>3</v>
      </c>
      <c r="I38" s="142">
        <v>1</v>
      </c>
      <c r="J38" s="142">
        <f>G38+H38+I38</f>
        <v>6</v>
      </c>
      <c r="K38" s="142">
        <f aca="true" t="shared" si="14" ref="K38:M40">C38-G38</f>
        <v>0</v>
      </c>
      <c r="L38" s="142">
        <f t="shared" si="14"/>
        <v>1</v>
      </c>
      <c r="M38" s="142">
        <f t="shared" si="14"/>
        <v>1</v>
      </c>
      <c r="N38" s="142">
        <f>K38+L38+M38</f>
        <v>2</v>
      </c>
    </row>
    <row r="39" spans="1:14" ht="17.25" customHeight="1">
      <c r="A39" s="147">
        <v>29</v>
      </c>
      <c r="B39" s="148" t="s">
        <v>93</v>
      </c>
      <c r="C39" s="149">
        <v>7</v>
      </c>
      <c r="D39" s="149">
        <v>15</v>
      </c>
      <c r="E39" s="149">
        <v>3</v>
      </c>
      <c r="F39" s="149">
        <f>C39+D39+E39</f>
        <v>25</v>
      </c>
      <c r="G39" s="149">
        <v>0</v>
      </c>
      <c r="H39" s="149">
        <v>3</v>
      </c>
      <c r="I39" s="149">
        <v>3</v>
      </c>
      <c r="J39" s="149">
        <f>G39+H39+I39</f>
        <v>6</v>
      </c>
      <c r="K39" s="149">
        <f t="shared" si="14"/>
        <v>7</v>
      </c>
      <c r="L39" s="149">
        <f t="shared" si="14"/>
        <v>12</v>
      </c>
      <c r="M39" s="149">
        <f t="shared" si="14"/>
        <v>0</v>
      </c>
      <c r="N39" s="149">
        <f>K39+L39+M39</f>
        <v>19</v>
      </c>
    </row>
    <row r="40" spans="1:14" s="139" customFormat="1" ht="17.25" customHeight="1">
      <c r="A40" s="143" t="s">
        <v>196</v>
      </c>
      <c r="B40" s="144" t="s">
        <v>213</v>
      </c>
      <c r="C40" s="135">
        <v>40</v>
      </c>
      <c r="D40" s="135">
        <v>6</v>
      </c>
      <c r="E40" s="135">
        <v>0</v>
      </c>
      <c r="F40" s="135">
        <f>C40+D40+E40</f>
        <v>46</v>
      </c>
      <c r="G40" s="135">
        <v>36</v>
      </c>
      <c r="H40" s="135">
        <v>5</v>
      </c>
      <c r="I40" s="135">
        <v>0</v>
      </c>
      <c r="J40" s="135">
        <f>G40+H40+I40</f>
        <v>41</v>
      </c>
      <c r="K40" s="135">
        <f t="shared" si="14"/>
        <v>4</v>
      </c>
      <c r="L40" s="135">
        <f t="shared" si="14"/>
        <v>1</v>
      </c>
      <c r="M40" s="135">
        <f t="shared" si="14"/>
        <v>0</v>
      </c>
      <c r="N40" s="135">
        <f>K40+L40+M40</f>
        <v>5</v>
      </c>
    </row>
    <row r="41" spans="1:14" s="139" customFormat="1" ht="17.25" customHeight="1">
      <c r="A41" s="143"/>
      <c r="B41" s="144" t="s">
        <v>60</v>
      </c>
      <c r="C41" s="135">
        <f>C5+C10+C18+C24+C31+C37+C40</f>
        <v>282</v>
      </c>
      <c r="D41" s="135">
        <f>D5+D10+D18+D24+D31+D37+D40</f>
        <v>98</v>
      </c>
      <c r="E41" s="135">
        <f aca="true" t="shared" si="15" ref="E41:M41">E5+E10+E18+E24+E31+E37+E40</f>
        <v>83</v>
      </c>
      <c r="F41" s="135">
        <f>F5+F10+F18+F24+F31+F37+F40</f>
        <v>463</v>
      </c>
      <c r="G41" s="135">
        <f>G5+G10+G18+G24+G31+G37+G40</f>
        <v>235</v>
      </c>
      <c r="H41" s="135">
        <f t="shared" si="15"/>
        <v>72</v>
      </c>
      <c r="I41" s="135">
        <f t="shared" si="15"/>
        <v>44</v>
      </c>
      <c r="J41" s="135">
        <f>J5+J10+J18+J24+J31+J37+J40</f>
        <v>351</v>
      </c>
      <c r="K41" s="135">
        <f t="shared" si="15"/>
        <v>47</v>
      </c>
      <c r="L41" s="135">
        <f t="shared" si="15"/>
        <v>26</v>
      </c>
      <c r="M41" s="135">
        <f t="shared" si="15"/>
        <v>39</v>
      </c>
      <c r="N41" s="135">
        <f>N5+N10+N18+N24+N31+N37+N40</f>
        <v>112</v>
      </c>
    </row>
    <row r="42" spans="2:10" ht="12.75">
      <c r="B42" s="133" t="s">
        <v>214</v>
      </c>
      <c r="G42" s="150">
        <f>G41-G40</f>
        <v>199</v>
      </c>
      <c r="H42" s="150">
        <f>H41-H40</f>
        <v>67</v>
      </c>
      <c r="I42" s="150">
        <f>I41-I40</f>
        <v>44</v>
      </c>
      <c r="J42" s="150">
        <f>I42+H42+G42</f>
        <v>310</v>
      </c>
    </row>
    <row r="43" spans="2:9" ht="12.75">
      <c r="B43" s="133" t="s">
        <v>452</v>
      </c>
      <c r="G43" s="150">
        <v>190</v>
      </c>
      <c r="H43" s="150">
        <v>64</v>
      </c>
      <c r="I43" s="150">
        <v>43</v>
      </c>
    </row>
    <row r="44" spans="2:10" ht="12.75">
      <c r="B44" s="133" t="s">
        <v>453</v>
      </c>
      <c r="G44" s="150">
        <f>G42-G43</f>
        <v>9</v>
      </c>
      <c r="H44" s="150">
        <f>H42-H43</f>
        <v>3</v>
      </c>
      <c r="I44" s="150">
        <f>I42-I43</f>
        <v>1</v>
      </c>
      <c r="J44" s="150">
        <f>I44+H44+G44</f>
        <v>13</v>
      </c>
    </row>
  </sheetData>
  <sheetProtection/>
  <mergeCells count="6">
    <mergeCell ref="A1:N1"/>
    <mergeCell ref="A3:A4"/>
    <mergeCell ref="B3:B4"/>
    <mergeCell ref="C3:F3"/>
    <mergeCell ref="G3:J3"/>
    <mergeCell ref="K3:N3"/>
  </mergeCells>
  <printOptions horizontalCentered="1"/>
  <pageMargins left="0.45" right="0.2" top="0.35" bottom="0.15" header="0.3" footer="0.3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N42"/>
  <sheetViews>
    <sheetView zoomScalePageLayoutView="0" workbookViewId="0" topLeftCell="E28">
      <selection activeCell="S6" sqref="S6"/>
    </sheetView>
  </sheetViews>
  <sheetFormatPr defaultColWidth="10.140625" defaultRowHeight="15"/>
  <cols>
    <col min="1" max="1" width="6.7109375" style="386" customWidth="1"/>
    <col min="2" max="2" width="15.140625" style="386" customWidth="1"/>
    <col min="3" max="3" width="13.00390625" style="386" customWidth="1"/>
    <col min="4" max="4" width="8.57421875" style="386" customWidth="1"/>
    <col min="5" max="5" width="8.8515625" style="386" customWidth="1"/>
    <col min="6" max="6" width="10.421875" style="386" customWidth="1"/>
    <col min="7" max="7" width="9.421875" style="386" customWidth="1"/>
    <col min="8" max="8" width="9.00390625" style="386" customWidth="1"/>
    <col min="9" max="9" width="8.7109375" style="386" customWidth="1"/>
    <col min="10" max="10" width="9.00390625" style="386" customWidth="1"/>
    <col min="11" max="11" width="8.57421875" style="386" customWidth="1"/>
    <col min="12" max="12" width="7.421875" style="386" customWidth="1"/>
    <col min="13" max="13" width="8.421875" style="386" customWidth="1"/>
    <col min="14" max="14" width="7.57421875" style="386" customWidth="1"/>
    <col min="15" max="15" width="7.28125" style="386" customWidth="1"/>
    <col min="16" max="17" width="7.140625" style="386" customWidth="1"/>
    <col min="18" max="18" width="7.28125" style="386" customWidth="1"/>
    <col min="19" max="19" width="11.421875" style="386" customWidth="1"/>
    <col min="20" max="21" width="8.00390625" style="386" customWidth="1"/>
    <col min="22" max="22" width="13.00390625" style="386" customWidth="1"/>
    <col min="23" max="23" width="8.57421875" style="386" customWidth="1"/>
    <col min="24" max="24" width="8.8515625" style="386" customWidth="1"/>
    <col min="25" max="25" width="10.421875" style="386" customWidth="1"/>
    <col min="26" max="26" width="9.421875" style="386" customWidth="1"/>
    <col min="27" max="27" width="9.00390625" style="386" customWidth="1"/>
    <col min="28" max="28" width="8.7109375" style="386" customWidth="1"/>
    <col min="29" max="29" width="9.00390625" style="386" customWidth="1"/>
    <col min="30" max="30" width="8.57421875" style="386" customWidth="1"/>
    <col min="31" max="31" width="7.421875" style="386" customWidth="1"/>
    <col min="32" max="32" width="8.421875" style="386" customWidth="1"/>
    <col min="33" max="33" width="7.57421875" style="386" customWidth="1"/>
    <col min="34" max="34" width="6.140625" style="386" customWidth="1"/>
    <col min="35" max="35" width="7.140625" style="386" customWidth="1"/>
    <col min="36" max="36" width="7.28125" style="386" customWidth="1"/>
    <col min="37" max="37" width="11.421875" style="386" customWidth="1"/>
    <col min="38" max="39" width="8.00390625" style="386" customWidth="1"/>
    <col min="40" max="253" width="9.140625" style="386" customWidth="1"/>
    <col min="254" max="254" width="7.140625" style="386" customWidth="1"/>
    <col min="255" max="255" width="22.00390625" style="386" customWidth="1"/>
    <col min="256" max="16384" width="10.140625" style="386" customWidth="1"/>
  </cols>
  <sheetData>
    <row r="1" spans="1:17" ht="15.75">
      <c r="A1" s="938"/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410"/>
    </row>
    <row r="2" spans="3:39" ht="15.75">
      <c r="C2" s="933" t="s">
        <v>7</v>
      </c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 t="s">
        <v>8</v>
      </c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</row>
    <row r="3" spans="1:39" ht="47.25" customHeight="1">
      <c r="A3" s="939" t="s">
        <v>0</v>
      </c>
      <c r="B3" s="941" t="s">
        <v>184</v>
      </c>
      <c r="C3" s="931" t="s">
        <v>325</v>
      </c>
      <c r="D3" s="934" t="s">
        <v>326</v>
      </c>
      <c r="E3" s="934"/>
      <c r="F3" s="934"/>
      <c r="G3" s="934"/>
      <c r="H3" s="934"/>
      <c r="I3" s="935" t="s">
        <v>348</v>
      </c>
      <c r="J3" s="936"/>
      <c r="K3" s="936"/>
      <c r="L3" s="936"/>
      <c r="M3" s="937"/>
      <c r="N3" s="934" t="s">
        <v>327</v>
      </c>
      <c r="O3" s="934"/>
      <c r="P3" s="934"/>
      <c r="Q3" s="934"/>
      <c r="R3" s="934"/>
      <c r="S3" s="931" t="s">
        <v>328</v>
      </c>
      <c r="T3" s="931" t="s">
        <v>329</v>
      </c>
      <c r="U3" s="931" t="s">
        <v>330</v>
      </c>
      <c r="V3" s="931" t="s">
        <v>325</v>
      </c>
      <c r="W3" s="934" t="s">
        <v>326</v>
      </c>
      <c r="X3" s="934"/>
      <c r="Y3" s="934"/>
      <c r="Z3" s="934"/>
      <c r="AA3" s="934"/>
      <c r="AB3" s="935" t="s">
        <v>347</v>
      </c>
      <c r="AC3" s="936"/>
      <c r="AD3" s="936"/>
      <c r="AE3" s="936"/>
      <c r="AF3" s="937"/>
      <c r="AG3" s="934" t="s">
        <v>327</v>
      </c>
      <c r="AH3" s="934"/>
      <c r="AI3" s="934"/>
      <c r="AJ3" s="934"/>
      <c r="AK3" s="931" t="s">
        <v>328</v>
      </c>
      <c r="AL3" s="931" t="s">
        <v>329</v>
      </c>
      <c r="AM3" s="931" t="s">
        <v>330</v>
      </c>
    </row>
    <row r="4" spans="1:39" ht="63" customHeight="1">
      <c r="A4" s="940"/>
      <c r="B4" s="941"/>
      <c r="C4" s="932"/>
      <c r="D4" s="388" t="s">
        <v>331</v>
      </c>
      <c r="E4" s="388" t="s">
        <v>332</v>
      </c>
      <c r="F4" s="388" t="s">
        <v>333</v>
      </c>
      <c r="G4" s="388" t="s">
        <v>334</v>
      </c>
      <c r="H4" s="388" t="s">
        <v>335</v>
      </c>
      <c r="I4" s="388" t="s">
        <v>336</v>
      </c>
      <c r="J4" s="389" t="s">
        <v>337</v>
      </c>
      <c r="K4" s="389" t="s">
        <v>338</v>
      </c>
      <c r="L4" s="389" t="s">
        <v>339</v>
      </c>
      <c r="M4" s="389" t="s">
        <v>340</v>
      </c>
      <c r="N4" s="389" t="s">
        <v>341</v>
      </c>
      <c r="O4" s="389" t="s">
        <v>342</v>
      </c>
      <c r="P4" s="389" t="s">
        <v>343</v>
      </c>
      <c r="Q4" s="389" t="s">
        <v>344</v>
      </c>
      <c r="R4" s="389" t="s">
        <v>28</v>
      </c>
      <c r="S4" s="932"/>
      <c r="T4" s="932"/>
      <c r="U4" s="932"/>
      <c r="V4" s="932"/>
      <c r="W4" s="388" t="s">
        <v>331</v>
      </c>
      <c r="X4" s="388" t="s">
        <v>332</v>
      </c>
      <c r="Y4" s="388" t="s">
        <v>333</v>
      </c>
      <c r="Z4" s="388" t="s">
        <v>334</v>
      </c>
      <c r="AA4" s="388" t="s">
        <v>335</v>
      </c>
      <c r="AB4" s="388" t="s">
        <v>336</v>
      </c>
      <c r="AC4" s="389" t="s">
        <v>337</v>
      </c>
      <c r="AD4" s="389" t="s">
        <v>338</v>
      </c>
      <c r="AE4" s="389" t="s">
        <v>339</v>
      </c>
      <c r="AF4" s="389" t="s">
        <v>340</v>
      </c>
      <c r="AG4" s="389" t="s">
        <v>341</v>
      </c>
      <c r="AH4" s="389" t="s">
        <v>342</v>
      </c>
      <c r="AI4" s="389" t="s">
        <v>343</v>
      </c>
      <c r="AJ4" s="389" t="s">
        <v>344</v>
      </c>
      <c r="AK4" s="932"/>
      <c r="AL4" s="932"/>
      <c r="AM4" s="932"/>
    </row>
    <row r="5" spans="1:118" s="392" customFormat="1" ht="15.75">
      <c r="A5" s="390" t="s">
        <v>105</v>
      </c>
      <c r="B5" s="391" t="s">
        <v>61</v>
      </c>
      <c r="F5" s="393"/>
      <c r="G5" s="394"/>
      <c r="H5" s="394"/>
      <c r="I5" s="394"/>
      <c r="J5" s="395"/>
      <c r="K5" s="395"/>
      <c r="L5" s="395"/>
      <c r="M5" s="395"/>
      <c r="N5" s="395"/>
      <c r="O5" s="395"/>
      <c r="P5" s="395"/>
      <c r="Q5" s="395"/>
      <c r="T5" s="396"/>
      <c r="Y5" s="393"/>
      <c r="Z5" s="394"/>
      <c r="AA5" s="394"/>
      <c r="AB5" s="394"/>
      <c r="AC5" s="395"/>
      <c r="AD5" s="395"/>
      <c r="AE5" s="395"/>
      <c r="AF5" s="395"/>
      <c r="AG5" s="395"/>
      <c r="AH5" s="395"/>
      <c r="AI5" s="395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</row>
    <row r="6" spans="1:118" s="129" customFormat="1" ht="12.75">
      <c r="A6" s="125">
        <v>1</v>
      </c>
      <c r="B6" s="126" t="s">
        <v>68</v>
      </c>
      <c r="C6" s="126">
        <f>D6+E6</f>
        <v>419373</v>
      </c>
      <c r="D6" s="126">
        <v>401219</v>
      </c>
      <c r="E6" s="126">
        <v>18154</v>
      </c>
      <c r="F6" s="126"/>
      <c r="G6" s="126"/>
      <c r="H6" s="126"/>
      <c r="I6" s="126"/>
      <c r="J6" s="126"/>
      <c r="K6" s="126"/>
      <c r="L6" s="126" t="s">
        <v>345</v>
      </c>
      <c r="M6" s="126"/>
      <c r="N6" s="126" t="s">
        <v>345</v>
      </c>
      <c r="O6" s="126" t="s">
        <v>345</v>
      </c>
      <c r="P6" s="126" t="s">
        <v>345</v>
      </c>
      <c r="Q6" s="126" t="s">
        <v>345</v>
      </c>
      <c r="R6" s="126" t="s">
        <v>345</v>
      </c>
      <c r="S6" s="126" t="s">
        <v>349</v>
      </c>
      <c r="T6" s="126"/>
      <c r="U6" s="126"/>
      <c r="V6" s="408">
        <f>W6+X6</f>
        <v>416274</v>
      </c>
      <c r="W6" s="408">
        <v>398220</v>
      </c>
      <c r="X6" s="408">
        <v>18054</v>
      </c>
      <c r="Y6" s="409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</row>
    <row r="7" spans="1:118" s="129" customFormat="1" ht="12.75">
      <c r="A7" s="127">
        <f>A6+1</f>
        <v>2</v>
      </c>
      <c r="B7" s="128" t="s">
        <v>106</v>
      </c>
      <c r="C7" s="126"/>
      <c r="D7" s="126"/>
      <c r="E7" s="128"/>
      <c r="F7" s="128"/>
      <c r="G7" s="128"/>
      <c r="H7" s="128"/>
      <c r="I7" s="128"/>
      <c r="J7" s="128"/>
      <c r="K7" s="128"/>
      <c r="L7" s="128"/>
      <c r="M7" s="128"/>
      <c r="N7" s="126"/>
      <c r="O7" s="128"/>
      <c r="P7" s="128"/>
      <c r="Q7" s="128"/>
      <c r="R7" s="128"/>
      <c r="S7" s="126"/>
      <c r="T7" s="128"/>
      <c r="U7" s="128"/>
      <c r="V7" s="126"/>
      <c r="W7" s="126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</row>
    <row r="8" spans="1:118" s="129" customFormat="1" ht="12.75">
      <c r="A8" s="127">
        <f>A7+1</f>
        <v>3</v>
      </c>
      <c r="B8" s="128" t="s">
        <v>67</v>
      </c>
      <c r="C8" s="126"/>
      <c r="D8" s="126"/>
      <c r="E8" s="128"/>
      <c r="F8" s="128"/>
      <c r="G8" s="128"/>
      <c r="H8" s="128"/>
      <c r="I8" s="128"/>
      <c r="J8" s="128"/>
      <c r="K8" s="128"/>
      <c r="L8" s="128"/>
      <c r="M8" s="128"/>
      <c r="N8" s="126"/>
      <c r="O8" s="128"/>
      <c r="P8" s="128"/>
      <c r="Q8" s="128"/>
      <c r="R8" s="128"/>
      <c r="S8" s="126"/>
      <c r="T8" s="128"/>
      <c r="U8" s="128"/>
      <c r="V8" s="126"/>
      <c r="W8" s="126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</row>
    <row r="9" spans="1:118" s="129" customFormat="1" ht="12.75">
      <c r="A9" s="130">
        <f>A8+1</f>
        <v>4</v>
      </c>
      <c r="B9" s="131" t="s">
        <v>70</v>
      </c>
      <c r="C9" s="126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26"/>
      <c r="O9" s="126"/>
      <c r="P9" s="126"/>
      <c r="Q9" s="126"/>
      <c r="R9" s="126"/>
      <c r="S9" s="126"/>
      <c r="T9" s="126"/>
      <c r="U9" s="126"/>
      <c r="V9" s="126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</row>
    <row r="10" spans="1:118" s="392" customFormat="1" ht="15.75">
      <c r="A10" s="397" t="s">
        <v>107</v>
      </c>
      <c r="B10" s="395" t="s">
        <v>62</v>
      </c>
      <c r="T10" s="396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7"/>
    </row>
    <row r="11" spans="1:118" s="129" customFormat="1" ht="12.75">
      <c r="A11" s="125">
        <v>5</v>
      </c>
      <c r="B11" s="126" t="s">
        <v>71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</row>
    <row r="12" spans="1:118" s="129" customFormat="1" ht="12.75">
      <c r="A12" s="127">
        <f>A11+1</f>
        <v>6</v>
      </c>
      <c r="B12" s="128" t="s">
        <v>72</v>
      </c>
      <c r="C12" s="126"/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6"/>
      <c r="W12" s="126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</row>
    <row r="13" spans="1:118" s="129" customFormat="1" ht="12.75">
      <c r="A13" s="127">
        <f>A12+1</f>
        <v>7</v>
      </c>
      <c r="B13" s="128" t="s">
        <v>108</v>
      </c>
      <c r="C13" s="126"/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6"/>
      <c r="W13" s="126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</row>
    <row r="14" spans="1:118" s="129" customFormat="1" ht="12.75">
      <c r="A14" s="130">
        <f>A13+1</f>
        <v>8</v>
      </c>
      <c r="B14" s="131" t="s">
        <v>73</v>
      </c>
      <c r="C14" s="126"/>
      <c r="D14" s="126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26"/>
      <c r="W14" s="126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</row>
    <row r="15" spans="1:118" s="129" customFormat="1" ht="12.75">
      <c r="A15" s="125">
        <f>A14+1</f>
        <v>9</v>
      </c>
      <c r="B15" s="126" t="s">
        <v>75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</row>
    <row r="16" spans="1:118" s="129" customFormat="1" ht="12.75">
      <c r="A16" s="127">
        <f>A15+1</f>
        <v>10</v>
      </c>
      <c r="B16" s="128" t="s">
        <v>109</v>
      </c>
      <c r="C16" s="126"/>
      <c r="D16" s="12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6"/>
      <c r="W16" s="126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4"/>
      <c r="DN16" s="324"/>
    </row>
    <row r="17" spans="1:118" s="129" customFormat="1" ht="12.75">
      <c r="A17" s="127">
        <v>11</v>
      </c>
      <c r="B17" s="128" t="s">
        <v>190</v>
      </c>
      <c r="C17" s="126"/>
      <c r="D17" s="12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6"/>
      <c r="W17" s="126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</row>
    <row r="18" spans="1:118" s="129" customFormat="1" ht="12.75">
      <c r="A18" s="127">
        <v>12</v>
      </c>
      <c r="B18" s="128" t="s">
        <v>77</v>
      </c>
      <c r="C18" s="126"/>
      <c r="D18" s="12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6"/>
      <c r="W18" s="126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31"/>
      <c r="AK18" s="131"/>
      <c r="AL18" s="131"/>
      <c r="AM18" s="131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</row>
    <row r="19" spans="1:118" s="129" customFormat="1" ht="12.75">
      <c r="A19" s="398">
        <v>13</v>
      </c>
      <c r="B19" s="311" t="s">
        <v>194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126"/>
      <c r="Q19" s="126"/>
      <c r="R19" s="126"/>
      <c r="S19" s="126"/>
      <c r="T19" s="126"/>
      <c r="U19" s="126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126"/>
      <c r="AK19" s="126"/>
      <c r="AL19" s="126"/>
      <c r="AM19" s="126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</row>
    <row r="20" spans="1:118" s="392" customFormat="1" ht="15.75">
      <c r="A20" s="397" t="s">
        <v>110</v>
      </c>
      <c r="B20" s="395" t="s">
        <v>63</v>
      </c>
      <c r="T20" s="396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</row>
    <row r="21" spans="1:118" s="129" customFormat="1" ht="12.75">
      <c r="A21" s="125">
        <v>14</v>
      </c>
      <c r="B21" s="126" t="s">
        <v>78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</row>
    <row r="22" spans="1:118" s="129" customFormat="1" ht="12.75">
      <c r="A22" s="125">
        <v>15</v>
      </c>
      <c r="B22" s="128" t="s">
        <v>79</v>
      </c>
      <c r="C22" s="126"/>
      <c r="D22" s="126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6"/>
      <c r="W22" s="126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</row>
    <row r="23" spans="1:118" s="129" customFormat="1" ht="12.75">
      <c r="A23" s="125">
        <v>16</v>
      </c>
      <c r="B23" s="128" t="s">
        <v>111</v>
      </c>
      <c r="C23" s="126"/>
      <c r="D23" s="126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6"/>
      <c r="W23" s="126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4"/>
      <c r="CY23" s="324"/>
      <c r="CZ23" s="324"/>
      <c r="DA23" s="324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4"/>
      <c r="DN23" s="324"/>
    </row>
    <row r="24" spans="1:118" s="129" customFormat="1" ht="12.75">
      <c r="A24" s="125">
        <v>17</v>
      </c>
      <c r="B24" s="131" t="s">
        <v>112</v>
      </c>
      <c r="C24" s="126"/>
      <c r="D24" s="126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26"/>
      <c r="W24" s="126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</row>
    <row r="25" spans="1:118" s="129" customFormat="1" ht="12.75">
      <c r="A25" s="125">
        <v>18</v>
      </c>
      <c r="B25" s="126" t="s">
        <v>81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</row>
    <row r="26" spans="1:118" s="392" customFormat="1" ht="15.75">
      <c r="A26" s="397" t="s">
        <v>113</v>
      </c>
      <c r="B26" s="395" t="s">
        <v>64</v>
      </c>
      <c r="T26" s="396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7"/>
      <c r="DB26" s="387"/>
      <c r="DC26" s="387"/>
      <c r="DD26" s="387"/>
      <c r="DE26" s="387"/>
      <c r="DF26" s="387"/>
      <c r="DG26" s="387"/>
      <c r="DH26" s="387"/>
      <c r="DI26" s="387"/>
      <c r="DJ26" s="387"/>
      <c r="DK26" s="387"/>
      <c r="DL26" s="387"/>
      <c r="DM26" s="387"/>
      <c r="DN26" s="387"/>
    </row>
    <row r="27" spans="1:118" s="129" customFormat="1" ht="12.75">
      <c r="A27" s="125">
        <v>19</v>
      </c>
      <c r="B27" s="126" t="s">
        <v>114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4"/>
      <c r="CZ27" s="324"/>
      <c r="DA27" s="324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4"/>
    </row>
    <row r="28" spans="1:118" s="129" customFormat="1" ht="12.75">
      <c r="A28" s="127">
        <f aca="true" t="shared" si="0" ref="A28:A33">A27+1</f>
        <v>20</v>
      </c>
      <c r="B28" s="128" t="s">
        <v>115</v>
      </c>
      <c r="C28" s="126"/>
      <c r="D28" s="126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6"/>
      <c r="W28" s="126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</row>
    <row r="29" spans="1:118" s="129" customFormat="1" ht="12.75">
      <c r="A29" s="127">
        <f t="shared" si="0"/>
        <v>21</v>
      </c>
      <c r="B29" s="128" t="s">
        <v>116</v>
      </c>
      <c r="C29" s="126"/>
      <c r="D29" s="126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6"/>
      <c r="W29" s="126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4"/>
      <c r="CK29" s="324"/>
      <c r="CL29" s="324"/>
      <c r="CM29" s="324"/>
      <c r="CN29" s="324"/>
      <c r="CO29" s="324"/>
      <c r="CP29" s="324"/>
      <c r="CQ29" s="324"/>
      <c r="CR29" s="324"/>
      <c r="CS29" s="324"/>
      <c r="CT29" s="324"/>
      <c r="CU29" s="324"/>
      <c r="CV29" s="324"/>
      <c r="CW29" s="324"/>
      <c r="CX29" s="324"/>
      <c r="CY29" s="324"/>
      <c r="CZ29" s="324"/>
      <c r="DA29" s="324"/>
      <c r="DB29" s="324"/>
      <c r="DC29" s="324"/>
      <c r="DD29" s="324"/>
      <c r="DE29" s="324"/>
      <c r="DF29" s="324"/>
      <c r="DG29" s="324"/>
      <c r="DH29" s="324"/>
      <c r="DI29" s="324"/>
      <c r="DJ29" s="324"/>
      <c r="DK29" s="324"/>
      <c r="DL29" s="324"/>
      <c r="DM29" s="324"/>
      <c r="DN29" s="324"/>
    </row>
    <row r="30" spans="1:118" s="129" customFormat="1" ht="12.75">
      <c r="A30" s="130">
        <f t="shared" si="0"/>
        <v>22</v>
      </c>
      <c r="B30" s="131" t="s">
        <v>84</v>
      </c>
      <c r="C30" s="126"/>
      <c r="D30" s="126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26"/>
      <c r="W30" s="126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4"/>
      <c r="CK30" s="324"/>
      <c r="CL30" s="324"/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24"/>
      <c r="CZ30" s="324"/>
      <c r="DA30" s="324"/>
      <c r="DB30" s="324"/>
      <c r="DC30" s="324"/>
      <c r="DD30" s="324"/>
      <c r="DE30" s="324"/>
      <c r="DF30" s="324"/>
      <c r="DG30" s="324"/>
      <c r="DH30" s="324"/>
      <c r="DI30" s="324"/>
      <c r="DJ30" s="324"/>
      <c r="DK30" s="324"/>
      <c r="DL30" s="324"/>
      <c r="DM30" s="324"/>
      <c r="DN30" s="324"/>
    </row>
    <row r="31" spans="1:118" s="129" customFormat="1" ht="12.75">
      <c r="A31" s="125">
        <f t="shared" si="0"/>
        <v>23</v>
      </c>
      <c r="B31" s="126" t="s">
        <v>83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</row>
    <row r="32" spans="1:118" s="129" customFormat="1" ht="12.75">
      <c r="A32" s="125">
        <f t="shared" si="0"/>
        <v>24</v>
      </c>
      <c r="B32" s="126" t="s">
        <v>85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</row>
    <row r="33" spans="1:118" s="129" customFormat="1" ht="12.75">
      <c r="A33" s="127">
        <f t="shared" si="0"/>
        <v>25</v>
      </c>
      <c r="B33" s="128" t="s">
        <v>86</v>
      </c>
      <c r="C33" s="126"/>
      <c r="D33" s="12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6"/>
      <c r="W33" s="126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  <c r="DN33" s="324"/>
    </row>
    <row r="34" spans="1:118" s="392" customFormat="1" ht="15.75">
      <c r="A34" s="397" t="s">
        <v>117</v>
      </c>
      <c r="B34" s="395" t="s">
        <v>65</v>
      </c>
      <c r="T34" s="396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87"/>
      <c r="DH34" s="387"/>
      <c r="DI34" s="387"/>
      <c r="DJ34" s="387"/>
      <c r="DK34" s="387"/>
      <c r="DL34" s="387"/>
      <c r="DM34" s="387"/>
      <c r="DN34" s="387"/>
    </row>
    <row r="35" spans="1:118" s="129" customFormat="1" ht="12.75">
      <c r="A35" s="125">
        <v>26</v>
      </c>
      <c r="B35" s="126" t="s">
        <v>87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</row>
    <row r="36" spans="1:118" s="129" customFormat="1" ht="12.75">
      <c r="A36" s="127">
        <f>A35+1</f>
        <v>27</v>
      </c>
      <c r="B36" s="128" t="s">
        <v>88</v>
      </c>
      <c r="C36" s="126"/>
      <c r="D36" s="12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6"/>
      <c r="W36" s="126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  <c r="DN36" s="324"/>
    </row>
    <row r="37" spans="1:118" s="129" customFormat="1" ht="12.75">
      <c r="A37" s="127">
        <f>A36+1</f>
        <v>28</v>
      </c>
      <c r="B37" s="128" t="s">
        <v>89</v>
      </c>
      <c r="C37" s="126"/>
      <c r="D37" s="12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6"/>
      <c r="W37" s="126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324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  <c r="DN37" s="324"/>
    </row>
    <row r="38" spans="1:118" s="129" customFormat="1" ht="135">
      <c r="A38" s="130">
        <f>A37+1</f>
        <v>29</v>
      </c>
      <c r="B38" s="131" t="s">
        <v>90</v>
      </c>
      <c r="C38" s="399">
        <v>457472.6</v>
      </c>
      <c r="D38" s="400" t="s">
        <v>304</v>
      </c>
      <c r="E38" s="400" t="s">
        <v>304</v>
      </c>
      <c r="F38" s="400" t="s">
        <v>304</v>
      </c>
      <c r="G38" s="400" t="s">
        <v>304</v>
      </c>
      <c r="H38" s="400" t="s">
        <v>304</v>
      </c>
      <c r="I38" s="401">
        <v>1</v>
      </c>
      <c r="J38" s="401"/>
      <c r="K38" s="401"/>
      <c r="L38" s="401"/>
      <c r="M38" s="402"/>
      <c r="N38" s="402" t="s">
        <v>345</v>
      </c>
      <c r="O38" s="403"/>
      <c r="P38" s="402" t="s">
        <v>345</v>
      </c>
      <c r="Q38" s="402"/>
      <c r="R38" s="402" t="s">
        <v>345</v>
      </c>
      <c r="S38" s="404" t="s">
        <v>346</v>
      </c>
      <c r="T38" s="129">
        <v>265000</v>
      </c>
      <c r="U38" s="129">
        <v>200000</v>
      </c>
      <c r="V38" s="399">
        <v>457472.6</v>
      </c>
      <c r="W38" s="400" t="s">
        <v>304</v>
      </c>
      <c r="X38" s="400" t="s">
        <v>304</v>
      </c>
      <c r="Y38" s="400" t="s">
        <v>304</v>
      </c>
      <c r="Z38" s="400" t="s">
        <v>304</v>
      </c>
      <c r="AA38" s="400" t="s">
        <v>304</v>
      </c>
      <c r="AB38" s="401">
        <v>1</v>
      </c>
      <c r="AC38" s="401"/>
      <c r="AD38" s="401"/>
      <c r="AE38" s="401"/>
      <c r="AF38" s="402"/>
      <c r="AG38" s="402" t="s">
        <v>345</v>
      </c>
      <c r="AH38" s="403"/>
      <c r="AI38" s="402" t="s">
        <v>345</v>
      </c>
      <c r="AJ38" s="402" t="s">
        <v>345</v>
      </c>
      <c r="AK38" s="404" t="s">
        <v>346</v>
      </c>
      <c r="AL38" s="132">
        <v>265000</v>
      </c>
      <c r="AM38" s="132">
        <v>200000</v>
      </c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</row>
    <row r="39" spans="1:39" s="129" customFormat="1" ht="15">
      <c r="A39" s="125">
        <f>A38+1</f>
        <v>30</v>
      </c>
      <c r="B39" s="126" t="s">
        <v>91</v>
      </c>
      <c r="C39" s="126" t="s">
        <v>202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311"/>
      <c r="R39" s="132"/>
      <c r="S39" s="405"/>
      <c r="V39" s="126" t="s">
        <v>202</v>
      </c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32"/>
      <c r="AK39" s="405"/>
      <c r="AL39" s="132"/>
      <c r="AM39" s="132"/>
    </row>
    <row r="40" spans="1:69" s="392" customFormat="1" ht="15.75">
      <c r="A40" s="397" t="s">
        <v>118</v>
      </c>
      <c r="B40" s="395" t="s">
        <v>66</v>
      </c>
      <c r="S40" s="406"/>
      <c r="T40" s="396"/>
      <c r="AK40" s="406"/>
      <c r="AM40" s="40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96"/>
    </row>
    <row r="41" spans="1:39" s="129" customFormat="1" ht="12.75">
      <c r="A41" s="125">
        <v>31</v>
      </c>
      <c r="B41" s="126" t="s">
        <v>92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311"/>
      <c r="R41" s="132"/>
      <c r="S41" s="132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32"/>
      <c r="AK41" s="132"/>
      <c r="AL41" s="132"/>
      <c r="AM41" s="132"/>
    </row>
    <row r="42" spans="1:39" s="129" customFormat="1" ht="12.75">
      <c r="A42" s="127">
        <v>32</v>
      </c>
      <c r="B42" s="128" t="s">
        <v>93</v>
      </c>
      <c r="C42" s="126"/>
      <c r="D42" s="126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311"/>
      <c r="R42" s="132"/>
      <c r="S42" s="132"/>
      <c r="V42" s="126"/>
      <c r="W42" s="126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32"/>
      <c r="AK42" s="132"/>
      <c r="AL42" s="132"/>
      <c r="AM42" s="132"/>
    </row>
  </sheetData>
  <sheetProtection/>
  <mergeCells count="19">
    <mergeCell ref="AL3:AL4"/>
    <mergeCell ref="A1:P1"/>
    <mergeCell ref="A3:A4"/>
    <mergeCell ref="B3:B4"/>
    <mergeCell ref="C3:C4"/>
    <mergeCell ref="D3:H3"/>
    <mergeCell ref="I3:M3"/>
    <mergeCell ref="N3:R3"/>
    <mergeCell ref="C2:U2"/>
    <mergeCell ref="AM3:AM4"/>
    <mergeCell ref="V2:AM2"/>
    <mergeCell ref="S3:S4"/>
    <mergeCell ref="T3:T4"/>
    <mergeCell ref="U3:U4"/>
    <mergeCell ref="V3:V4"/>
    <mergeCell ref="W3:AA3"/>
    <mergeCell ref="AB3:AF3"/>
    <mergeCell ref="AG3:AJ3"/>
    <mergeCell ref="AK3:AK4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A1">
      <pane xSplit="2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M13" sqref="AM13"/>
    </sheetView>
  </sheetViews>
  <sheetFormatPr defaultColWidth="9.140625" defaultRowHeight="15"/>
  <cols>
    <col min="1" max="1" width="5.00390625" style="133" customWidth="1"/>
    <col min="2" max="2" width="14.00390625" style="133" customWidth="1"/>
    <col min="3" max="8" width="6.421875" style="133" customWidth="1"/>
    <col min="9" max="9" width="11.00390625" style="133" customWidth="1"/>
    <col min="10" max="10" width="9.28125" style="133" customWidth="1"/>
    <col min="11" max="11" width="8.140625" style="133" customWidth="1"/>
    <col min="12" max="15" width="6.421875" style="133" customWidth="1"/>
    <col min="16" max="16" width="8.7109375" style="133" customWidth="1"/>
    <col min="17" max="17" width="7.7109375" style="133" customWidth="1"/>
    <col min="18" max="18" width="6.421875" style="133" customWidth="1"/>
    <col min="19" max="19" width="9.28125" style="133" customWidth="1"/>
    <col min="20" max="20" width="6.421875" style="133" customWidth="1"/>
    <col min="21" max="21" width="8.7109375" style="133" customWidth="1"/>
    <col min="22" max="22" width="8.8515625" style="133" customWidth="1"/>
    <col min="23" max="23" width="7.57421875" style="133" customWidth="1"/>
    <col min="24" max="24" width="6.421875" style="133" customWidth="1"/>
    <col min="25" max="26" width="6.421875" style="150" customWidth="1"/>
    <col min="27" max="35" width="6.421875" style="133" customWidth="1"/>
    <col min="36" max="36" width="14.57421875" style="150" customWidth="1"/>
    <col min="37" max="37" width="12.7109375" style="150" customWidth="1"/>
    <col min="38" max="38" width="18.57421875" style="133" customWidth="1"/>
    <col min="39" max="39" width="15.57421875" style="133" customWidth="1"/>
    <col min="40" max="40" width="14.00390625" style="133" customWidth="1"/>
    <col min="41" max="16384" width="9.140625" style="133" customWidth="1"/>
  </cols>
  <sheetData>
    <row r="1" spans="24:39" ht="22.5" customHeight="1">
      <c r="X1" s="898" t="s">
        <v>445</v>
      </c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946" t="s">
        <v>448</v>
      </c>
      <c r="AK1" s="946"/>
      <c r="AL1" s="946"/>
      <c r="AM1" s="946"/>
    </row>
    <row r="2" spans="1:40" ht="29.25" customHeight="1">
      <c r="A2" s="924" t="s">
        <v>0</v>
      </c>
      <c r="B2" s="926" t="s">
        <v>184</v>
      </c>
      <c r="C2" s="926" t="s">
        <v>431</v>
      </c>
      <c r="D2" s="926" t="s">
        <v>432</v>
      </c>
      <c r="E2" s="926" t="s">
        <v>433</v>
      </c>
      <c r="F2" s="926" t="s">
        <v>432</v>
      </c>
      <c r="G2" s="926" t="s">
        <v>434</v>
      </c>
      <c r="H2" s="926" t="s">
        <v>432</v>
      </c>
      <c r="I2" s="926" t="s">
        <v>435</v>
      </c>
      <c r="J2" s="926" t="s">
        <v>436</v>
      </c>
      <c r="K2" s="947" t="s">
        <v>437</v>
      </c>
      <c r="L2" s="947"/>
      <c r="M2" s="947"/>
      <c r="N2" s="947"/>
      <c r="O2" s="947" t="s">
        <v>441</v>
      </c>
      <c r="P2" s="947"/>
      <c r="Q2" s="947"/>
      <c r="R2" s="947"/>
      <c r="S2" s="492"/>
      <c r="T2" s="926" t="s">
        <v>451</v>
      </c>
      <c r="U2" s="943" t="s">
        <v>450</v>
      </c>
      <c r="V2" s="944"/>
      <c r="W2" s="945"/>
      <c r="X2" s="948" t="s">
        <v>444</v>
      </c>
      <c r="Y2" s="948"/>
      <c r="Z2" s="948"/>
      <c r="AA2" s="948" t="s">
        <v>446</v>
      </c>
      <c r="AB2" s="948"/>
      <c r="AC2" s="948"/>
      <c r="AD2" s="928" t="s">
        <v>342</v>
      </c>
      <c r="AE2" s="929"/>
      <c r="AF2" s="930"/>
      <c r="AG2" s="928" t="s">
        <v>447</v>
      </c>
      <c r="AH2" s="929"/>
      <c r="AI2" s="929"/>
      <c r="AJ2" s="926" t="s">
        <v>444</v>
      </c>
      <c r="AK2" s="926" t="s">
        <v>449</v>
      </c>
      <c r="AL2" s="924" t="s">
        <v>446</v>
      </c>
      <c r="AM2" s="924" t="s">
        <v>428</v>
      </c>
      <c r="AN2" s="942" t="s">
        <v>212</v>
      </c>
    </row>
    <row r="3" spans="1:40" ht="105.75" customHeight="1">
      <c r="A3" s="925"/>
      <c r="B3" s="927"/>
      <c r="C3" s="927"/>
      <c r="D3" s="927"/>
      <c r="E3" s="927"/>
      <c r="F3" s="927"/>
      <c r="G3" s="927"/>
      <c r="H3" s="927"/>
      <c r="I3" s="927"/>
      <c r="J3" s="927"/>
      <c r="K3" s="493" t="s">
        <v>212</v>
      </c>
      <c r="L3" s="493" t="s">
        <v>440</v>
      </c>
      <c r="M3" s="493" t="s">
        <v>438</v>
      </c>
      <c r="N3" s="493" t="s">
        <v>439</v>
      </c>
      <c r="O3" s="493" t="s">
        <v>212</v>
      </c>
      <c r="P3" s="493" t="s">
        <v>442</v>
      </c>
      <c r="Q3" s="493" t="s">
        <v>438</v>
      </c>
      <c r="R3" s="493" t="s">
        <v>439</v>
      </c>
      <c r="S3" s="493"/>
      <c r="T3" s="927"/>
      <c r="U3" s="493" t="s">
        <v>443</v>
      </c>
      <c r="V3" s="493" t="s">
        <v>438</v>
      </c>
      <c r="W3" s="493" t="s">
        <v>439</v>
      </c>
      <c r="X3" s="493" t="s">
        <v>443</v>
      </c>
      <c r="Y3" s="493" t="s">
        <v>429</v>
      </c>
      <c r="Z3" s="493" t="s">
        <v>430</v>
      </c>
      <c r="AA3" s="493" t="s">
        <v>443</v>
      </c>
      <c r="AB3" s="493" t="s">
        <v>429</v>
      </c>
      <c r="AC3" s="493" t="s">
        <v>430</v>
      </c>
      <c r="AD3" s="493" t="s">
        <v>443</v>
      </c>
      <c r="AE3" s="493" t="s">
        <v>429</v>
      </c>
      <c r="AF3" s="493" t="s">
        <v>430</v>
      </c>
      <c r="AG3" s="493" t="s">
        <v>443</v>
      </c>
      <c r="AH3" s="134" t="s">
        <v>429</v>
      </c>
      <c r="AI3" s="134" t="s">
        <v>430</v>
      </c>
      <c r="AJ3" s="927"/>
      <c r="AK3" s="927"/>
      <c r="AL3" s="925"/>
      <c r="AM3" s="925"/>
      <c r="AN3" s="942"/>
    </row>
    <row r="4" spans="1:40" ht="12.75">
      <c r="A4" s="136" t="s">
        <v>105</v>
      </c>
      <c r="B4" s="137" t="s">
        <v>61</v>
      </c>
      <c r="C4" s="137"/>
      <c r="D4" s="137"/>
      <c r="E4" s="137"/>
      <c r="F4" s="137"/>
      <c r="G4" s="137"/>
      <c r="H4" s="137"/>
      <c r="I4" s="551">
        <f>I5+K5+O5+T5</f>
        <v>37658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449"/>
      <c r="Z4" s="449"/>
      <c r="AA4" s="507"/>
      <c r="AB4" s="507"/>
      <c r="AC4" s="507"/>
      <c r="AD4" s="507"/>
      <c r="AE4" s="507"/>
      <c r="AF4" s="507"/>
      <c r="AG4" s="507"/>
      <c r="AH4" s="507"/>
      <c r="AI4" s="508"/>
      <c r="AJ4" s="135"/>
      <c r="AK4" s="135"/>
      <c r="AL4" s="513"/>
      <c r="AM4" s="513"/>
      <c r="AN4" s="534">
        <f aca="true" t="shared" si="0" ref="AN4:AN13">SUM(AJ4:AM4)</f>
        <v>0</v>
      </c>
    </row>
    <row r="5" spans="1:40" s="139" customFormat="1" ht="17.25" customHeight="1">
      <c r="A5" s="145">
        <v>1</v>
      </c>
      <c r="B5" s="146" t="s">
        <v>68</v>
      </c>
      <c r="C5" s="146">
        <v>1871</v>
      </c>
      <c r="D5" s="146">
        <v>2435</v>
      </c>
      <c r="E5" s="146">
        <v>157</v>
      </c>
      <c r="F5" s="146">
        <v>203</v>
      </c>
      <c r="G5" s="146">
        <v>12</v>
      </c>
      <c r="H5" s="146">
        <v>12</v>
      </c>
      <c r="I5" s="540">
        <v>33341</v>
      </c>
      <c r="J5" s="146"/>
      <c r="K5" s="146">
        <v>1467</v>
      </c>
      <c r="L5" s="146"/>
      <c r="M5" s="146">
        <v>15</v>
      </c>
      <c r="N5" s="146">
        <v>3</v>
      </c>
      <c r="O5" s="146">
        <v>1701</v>
      </c>
      <c r="P5" s="146"/>
      <c r="Q5" s="146">
        <v>120</v>
      </c>
      <c r="R5" s="146">
        <v>40</v>
      </c>
      <c r="S5" s="557">
        <f>T5+I5+K5+O5</f>
        <v>37658</v>
      </c>
      <c r="T5" s="146">
        <v>1149</v>
      </c>
      <c r="U5" s="542"/>
      <c r="V5" s="542">
        <v>219000</v>
      </c>
      <c r="W5" s="542">
        <v>110000</v>
      </c>
      <c r="X5" s="146"/>
      <c r="Y5" s="287">
        <v>27</v>
      </c>
      <c r="Z5" s="287">
        <v>0.3</v>
      </c>
      <c r="AA5" s="505"/>
      <c r="AB5" s="505"/>
      <c r="AC5" s="505"/>
      <c r="AD5" s="505"/>
      <c r="AE5" s="505">
        <v>54</v>
      </c>
      <c r="AF5" s="505">
        <v>0.6</v>
      </c>
      <c r="AG5" s="505"/>
      <c r="AH5" s="505">
        <v>1369</v>
      </c>
      <c r="AI5" s="506">
        <v>15</v>
      </c>
      <c r="AJ5" s="502">
        <v>41212362000</v>
      </c>
      <c r="AK5" s="515">
        <v>7983493000</v>
      </c>
      <c r="AL5" s="527"/>
      <c r="AM5" s="527">
        <v>90496055000</v>
      </c>
      <c r="AN5" s="534">
        <f>SUM(AJ5:AM5)</f>
        <v>139691910000</v>
      </c>
    </row>
    <row r="6" spans="1:40" s="286" customFormat="1" ht="17.25" customHeight="1">
      <c r="A6" s="282">
        <f>A5+1</f>
        <v>2</v>
      </c>
      <c r="B6" s="288" t="s">
        <v>106</v>
      </c>
      <c r="C6" s="288">
        <v>955</v>
      </c>
      <c r="D6" s="288">
        <v>1144</v>
      </c>
      <c r="E6" s="288">
        <v>108</v>
      </c>
      <c r="F6" s="288">
        <v>108</v>
      </c>
      <c r="G6" s="288">
        <v>8</v>
      </c>
      <c r="H6" s="288">
        <v>8</v>
      </c>
      <c r="I6" s="288">
        <v>189</v>
      </c>
      <c r="J6" s="288">
        <v>57277</v>
      </c>
      <c r="K6" s="288"/>
      <c r="L6" s="288"/>
      <c r="M6" s="288"/>
      <c r="N6" s="288"/>
      <c r="O6" s="288"/>
      <c r="P6" s="288"/>
      <c r="Q6" s="288"/>
      <c r="R6" s="288"/>
      <c r="S6" s="557">
        <f aca="true" t="shared" si="1" ref="S6:S38">T6+I6+K6+O6</f>
        <v>189</v>
      </c>
      <c r="T6" s="288"/>
      <c r="U6" s="528"/>
      <c r="V6" s="528">
        <v>382630</v>
      </c>
      <c r="W6" s="528">
        <v>302837</v>
      </c>
      <c r="X6" s="288"/>
      <c r="Y6" s="285">
        <v>41.3</v>
      </c>
      <c r="Z6" s="285">
        <v>0.7</v>
      </c>
      <c r="AA6" s="288"/>
      <c r="AB6" s="288">
        <v>46.3</v>
      </c>
      <c r="AC6" s="288">
        <v>0.064</v>
      </c>
      <c r="AD6" s="288"/>
      <c r="AE6" s="288"/>
      <c r="AF6" s="288"/>
      <c r="AG6" s="288"/>
      <c r="AH6" s="288"/>
      <c r="AI6" s="285"/>
      <c r="AJ6" s="501">
        <v>228188962</v>
      </c>
      <c r="AK6" s="501"/>
      <c r="AL6" s="528">
        <v>253906963304</v>
      </c>
      <c r="AM6" s="528"/>
      <c r="AN6" s="534">
        <f t="shared" si="0"/>
        <v>254135152266</v>
      </c>
    </row>
    <row r="7" spans="1:40" s="286" customFormat="1" ht="17.25" customHeight="1">
      <c r="A7" s="282">
        <f>A6+1</f>
        <v>3</v>
      </c>
      <c r="B7" s="288" t="s">
        <v>67</v>
      </c>
      <c r="C7" s="288">
        <v>507</v>
      </c>
      <c r="D7" s="288">
        <v>1750</v>
      </c>
      <c r="E7" s="288">
        <v>62</v>
      </c>
      <c r="F7" s="288">
        <v>130</v>
      </c>
      <c r="G7" s="288">
        <v>7</v>
      </c>
      <c r="H7" s="288">
        <v>10</v>
      </c>
      <c r="I7" s="288">
        <v>725</v>
      </c>
      <c r="J7" s="288">
        <v>1557</v>
      </c>
      <c r="K7" s="288"/>
      <c r="L7" s="288"/>
      <c r="M7" s="288"/>
      <c r="N7" s="288"/>
      <c r="O7" s="288">
        <v>507</v>
      </c>
      <c r="P7" s="288"/>
      <c r="Q7" s="288">
        <v>208</v>
      </c>
      <c r="R7" s="288">
        <v>15</v>
      </c>
      <c r="S7" s="557">
        <f t="shared" si="1"/>
        <v>1232</v>
      </c>
      <c r="T7" s="288"/>
      <c r="U7" s="528"/>
      <c r="V7" s="528">
        <v>256000</v>
      </c>
      <c r="W7" s="528">
        <v>826</v>
      </c>
      <c r="X7" s="288"/>
      <c r="Y7" s="285"/>
      <c r="Z7" s="285"/>
      <c r="AA7" s="288"/>
      <c r="AB7" s="288">
        <v>38.08</v>
      </c>
      <c r="AC7" s="288">
        <v>3.09</v>
      </c>
      <c r="AD7" s="288"/>
      <c r="AE7" s="288"/>
      <c r="AF7" s="288"/>
      <c r="AG7" s="288"/>
      <c r="AH7" s="288">
        <v>4824</v>
      </c>
      <c r="AI7" s="285">
        <v>1.73</v>
      </c>
      <c r="AJ7" s="501">
        <v>885098668</v>
      </c>
      <c r="AK7" s="501"/>
      <c r="AL7" s="528">
        <v>10955095900</v>
      </c>
      <c r="AM7" s="528">
        <v>94684327320</v>
      </c>
      <c r="AN7" s="534">
        <f t="shared" si="0"/>
        <v>106524521888</v>
      </c>
    </row>
    <row r="8" spans="1:40" s="286" customFormat="1" ht="17.25" customHeight="1">
      <c r="A8" s="289">
        <f>A7+1</f>
        <v>4</v>
      </c>
      <c r="B8" s="283" t="s">
        <v>70</v>
      </c>
      <c r="C8" s="283">
        <v>289</v>
      </c>
      <c r="D8" s="283">
        <v>1766</v>
      </c>
      <c r="E8" s="283">
        <v>45</v>
      </c>
      <c r="F8" s="283">
        <v>210</v>
      </c>
      <c r="G8" s="283">
        <v>5</v>
      </c>
      <c r="H8" s="283">
        <v>11</v>
      </c>
      <c r="I8" s="283">
        <v>17585</v>
      </c>
      <c r="J8" s="283">
        <v>163</v>
      </c>
      <c r="K8" s="283"/>
      <c r="L8" s="283"/>
      <c r="M8" s="283"/>
      <c r="N8" s="283"/>
      <c r="O8" s="283">
        <v>242</v>
      </c>
      <c r="P8" s="283">
        <v>80</v>
      </c>
      <c r="Q8" s="283">
        <v>100</v>
      </c>
      <c r="R8" s="283">
        <v>55</v>
      </c>
      <c r="S8" s="557">
        <f t="shared" si="1"/>
        <v>17827</v>
      </c>
      <c r="T8" s="283"/>
      <c r="U8" s="529">
        <v>63812</v>
      </c>
      <c r="V8" s="529">
        <v>124319</v>
      </c>
      <c r="W8" s="529">
        <v>67117</v>
      </c>
      <c r="X8" s="283">
        <v>3.6</v>
      </c>
      <c r="Y8" s="284">
        <v>8</v>
      </c>
      <c r="Z8" s="284">
        <v>0.5</v>
      </c>
      <c r="AA8" s="283">
        <v>31</v>
      </c>
      <c r="AB8" s="283"/>
      <c r="AC8" s="283"/>
      <c r="AD8" s="283"/>
      <c r="AE8" s="283"/>
      <c r="AF8" s="283"/>
      <c r="AG8" s="283"/>
      <c r="AH8" s="284">
        <v>589</v>
      </c>
      <c r="AI8" s="284">
        <v>324</v>
      </c>
      <c r="AJ8" s="503">
        <v>7308945800</v>
      </c>
      <c r="AK8" s="503"/>
      <c r="AL8" s="529">
        <v>1189297000</v>
      </c>
      <c r="AM8" s="529">
        <v>8205204300</v>
      </c>
      <c r="AN8" s="534">
        <f t="shared" si="0"/>
        <v>16703447100</v>
      </c>
    </row>
    <row r="9" spans="1:40" s="286" customFormat="1" ht="17.25" customHeight="1">
      <c r="A9" s="290" t="s">
        <v>107</v>
      </c>
      <c r="B9" s="291" t="s">
        <v>62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57">
        <f t="shared" si="1"/>
        <v>0</v>
      </c>
      <c r="T9" s="500"/>
      <c r="U9" s="543"/>
      <c r="V9" s="543"/>
      <c r="W9" s="543"/>
      <c r="X9" s="500"/>
      <c r="Y9" s="292"/>
      <c r="Z9" s="292"/>
      <c r="AA9" s="507"/>
      <c r="AB9" s="507"/>
      <c r="AC9" s="507"/>
      <c r="AD9" s="507"/>
      <c r="AE9" s="507"/>
      <c r="AF9" s="507"/>
      <c r="AG9" s="507"/>
      <c r="AH9" s="507"/>
      <c r="AI9" s="508"/>
      <c r="AJ9" s="530"/>
      <c r="AK9" s="530"/>
      <c r="AL9" s="517"/>
      <c r="AM9" s="517"/>
      <c r="AN9" s="534">
        <f t="shared" si="0"/>
        <v>0</v>
      </c>
    </row>
    <row r="10" spans="1:40" s="293" customFormat="1" ht="17.25" customHeight="1">
      <c r="A10" s="145">
        <v>5</v>
      </c>
      <c r="B10" s="146" t="s">
        <v>71</v>
      </c>
      <c r="C10" s="146">
        <v>955</v>
      </c>
      <c r="D10" s="146">
        <v>1116</v>
      </c>
      <c r="E10" s="146">
        <v>81</v>
      </c>
      <c r="F10" s="146">
        <v>164</v>
      </c>
      <c r="G10" s="146">
        <v>8</v>
      </c>
      <c r="H10" s="146">
        <v>9</v>
      </c>
      <c r="I10" s="146">
        <v>23841</v>
      </c>
      <c r="J10" s="146">
        <v>15103</v>
      </c>
      <c r="K10" s="146">
        <v>2241</v>
      </c>
      <c r="L10" s="146"/>
      <c r="M10" s="146">
        <v>50</v>
      </c>
      <c r="N10" s="146">
        <v>4</v>
      </c>
      <c r="O10" s="146">
        <v>295</v>
      </c>
      <c r="P10" s="146"/>
      <c r="Q10" s="146"/>
      <c r="R10" s="146"/>
      <c r="S10" s="557">
        <f t="shared" si="1"/>
        <v>26377</v>
      </c>
      <c r="T10" s="146"/>
      <c r="U10" s="542"/>
      <c r="V10" s="146">
        <v>473200</v>
      </c>
      <c r="W10" s="146">
        <v>20100</v>
      </c>
      <c r="X10" s="146"/>
      <c r="Y10" s="287">
        <v>2</v>
      </c>
      <c r="Z10" s="287">
        <v>0.1</v>
      </c>
      <c r="AA10" s="505"/>
      <c r="AB10" s="505">
        <v>30</v>
      </c>
      <c r="AC10" s="505">
        <v>4.2</v>
      </c>
      <c r="AD10" s="505"/>
      <c r="AE10" s="505">
        <v>89</v>
      </c>
      <c r="AF10" s="505">
        <v>23</v>
      </c>
      <c r="AG10" s="505"/>
      <c r="AH10" s="505">
        <v>418</v>
      </c>
      <c r="AI10" s="506">
        <v>145</v>
      </c>
      <c r="AJ10" s="515">
        <v>2375709500</v>
      </c>
      <c r="AK10" s="515"/>
      <c r="AL10" s="527">
        <v>45303332900</v>
      </c>
      <c r="AM10" s="505"/>
      <c r="AN10" s="534">
        <f t="shared" si="0"/>
        <v>47679042400</v>
      </c>
    </row>
    <row r="11" spans="1:40" s="286" customFormat="1" ht="17.25" customHeight="1">
      <c r="A11" s="282">
        <f aca="true" t="shared" si="2" ref="A11:A16">A10+1</f>
        <v>6</v>
      </c>
      <c r="B11" s="288" t="s">
        <v>72</v>
      </c>
      <c r="C11" s="288">
        <v>785</v>
      </c>
      <c r="D11" s="288">
        <v>1574</v>
      </c>
      <c r="E11" s="288">
        <v>96</v>
      </c>
      <c r="F11" s="288">
        <v>164</v>
      </c>
      <c r="G11" s="288">
        <v>9</v>
      </c>
      <c r="H11" s="288"/>
      <c r="I11" s="288">
        <v>10103</v>
      </c>
      <c r="J11" s="288"/>
      <c r="K11" s="288"/>
      <c r="L11" s="288"/>
      <c r="M11" s="288"/>
      <c r="N11" s="288"/>
      <c r="O11" s="288">
        <v>92</v>
      </c>
      <c r="P11" s="288"/>
      <c r="Q11" s="288">
        <v>28</v>
      </c>
      <c r="R11" s="288">
        <v>4</v>
      </c>
      <c r="S11" s="557">
        <f t="shared" si="1"/>
        <v>10195</v>
      </c>
      <c r="T11" s="288"/>
      <c r="U11" s="528"/>
      <c r="V11" s="528">
        <v>307000</v>
      </c>
      <c r="W11" s="528">
        <v>38000</v>
      </c>
      <c r="X11" s="288"/>
      <c r="Y11" s="285">
        <v>67.61</v>
      </c>
      <c r="Z11" s="285">
        <v>0.1</v>
      </c>
      <c r="AA11" s="288"/>
      <c r="AB11" s="288"/>
      <c r="AC11" s="288"/>
      <c r="AD11" s="288"/>
      <c r="AE11" s="288"/>
      <c r="AF11" s="288"/>
      <c r="AG11" s="288"/>
      <c r="AH11" s="288">
        <v>10.2</v>
      </c>
      <c r="AI11" s="285">
        <v>0.13</v>
      </c>
      <c r="AJ11" s="501">
        <v>692422000</v>
      </c>
      <c r="AK11" s="501"/>
      <c r="AL11" s="288"/>
      <c r="AM11" s="288">
        <v>60000000</v>
      </c>
      <c r="AN11" s="534">
        <f t="shared" si="0"/>
        <v>752422000</v>
      </c>
    </row>
    <row r="12" spans="1:40" s="286" customFormat="1" ht="17.25" customHeight="1">
      <c r="A12" s="282">
        <f t="shared" si="2"/>
        <v>7</v>
      </c>
      <c r="B12" s="288" t="s">
        <v>108</v>
      </c>
      <c r="C12" s="288">
        <v>216</v>
      </c>
      <c r="D12" s="288">
        <v>2090</v>
      </c>
      <c r="E12" s="288">
        <v>141</v>
      </c>
      <c r="F12" s="288"/>
      <c r="G12" s="288">
        <v>3</v>
      </c>
      <c r="H12" s="288">
        <v>7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557">
        <f t="shared" si="1"/>
        <v>0</v>
      </c>
      <c r="T12" s="288"/>
      <c r="U12" s="528"/>
      <c r="V12" s="528"/>
      <c r="W12" s="528"/>
      <c r="X12" s="288"/>
      <c r="Y12" s="285"/>
      <c r="Z12" s="285"/>
      <c r="AA12" s="288"/>
      <c r="AB12" s="288"/>
      <c r="AC12" s="288"/>
      <c r="AD12" s="288"/>
      <c r="AE12" s="288"/>
      <c r="AF12" s="288"/>
      <c r="AG12" s="288"/>
      <c r="AH12" s="288"/>
      <c r="AI12" s="285"/>
      <c r="AJ12" s="501"/>
      <c r="AK12" s="501"/>
      <c r="AL12" s="288"/>
      <c r="AM12" s="288"/>
      <c r="AN12" s="534">
        <f t="shared" si="0"/>
        <v>0</v>
      </c>
    </row>
    <row r="13" spans="1:40" s="286" customFormat="1" ht="17.25" customHeight="1">
      <c r="A13" s="282">
        <f t="shared" si="2"/>
        <v>8</v>
      </c>
      <c r="B13" s="288" t="s">
        <v>73</v>
      </c>
      <c r="C13" s="288">
        <v>1769</v>
      </c>
      <c r="D13" s="288">
        <v>2096</v>
      </c>
      <c r="E13" s="288">
        <v>137</v>
      </c>
      <c r="F13" s="288">
        <v>196</v>
      </c>
      <c r="G13" s="288">
        <v>11</v>
      </c>
      <c r="H13" s="288">
        <v>11</v>
      </c>
      <c r="I13" s="288"/>
      <c r="J13" s="288">
        <v>77102</v>
      </c>
      <c r="K13" s="288"/>
      <c r="L13" s="288"/>
      <c r="M13" s="288"/>
      <c r="N13" s="288"/>
      <c r="O13" s="288">
        <v>1769</v>
      </c>
      <c r="P13" s="288">
        <v>114</v>
      </c>
      <c r="Q13" s="288">
        <v>180</v>
      </c>
      <c r="R13" s="288">
        <v>48</v>
      </c>
      <c r="S13" s="557">
        <f t="shared" si="1"/>
        <v>1769</v>
      </c>
      <c r="T13" s="288"/>
      <c r="U13" s="528"/>
      <c r="V13" s="528">
        <v>168000</v>
      </c>
      <c r="W13" s="528">
        <v>13000</v>
      </c>
      <c r="X13" s="288"/>
      <c r="Y13" s="285"/>
      <c r="Z13" s="285"/>
      <c r="AA13" s="288"/>
      <c r="AB13" s="288">
        <v>8.4</v>
      </c>
      <c r="AC13" s="288">
        <v>0.2</v>
      </c>
      <c r="AD13" s="288"/>
      <c r="AE13" s="288"/>
      <c r="AF13" s="288"/>
      <c r="AG13" s="288"/>
      <c r="AH13" s="288">
        <v>1516.7</v>
      </c>
      <c r="AI13" s="285">
        <v>9.7</v>
      </c>
      <c r="AJ13" s="501"/>
      <c r="AK13" s="501"/>
      <c r="AL13" s="288"/>
      <c r="AM13" s="528">
        <v>25485781000</v>
      </c>
      <c r="AN13" s="534">
        <f t="shared" si="0"/>
        <v>25485781000</v>
      </c>
    </row>
    <row r="14" spans="1:40" s="286" customFormat="1" ht="17.25" customHeight="1">
      <c r="A14" s="282">
        <f t="shared" si="2"/>
        <v>9</v>
      </c>
      <c r="B14" s="288" t="s">
        <v>75</v>
      </c>
      <c r="C14" s="288">
        <v>378</v>
      </c>
      <c r="D14" s="288">
        <v>2292</v>
      </c>
      <c r="E14" s="288">
        <v>33</v>
      </c>
      <c r="F14" s="288">
        <v>199</v>
      </c>
      <c r="G14" s="288">
        <v>3</v>
      </c>
      <c r="H14" s="288">
        <v>13</v>
      </c>
      <c r="I14" s="288">
        <v>5101</v>
      </c>
      <c r="J14" s="288"/>
      <c r="K14" s="288">
        <v>622</v>
      </c>
      <c r="L14" s="288"/>
      <c r="M14" s="288">
        <v>17</v>
      </c>
      <c r="N14" s="288">
        <v>2</v>
      </c>
      <c r="O14" s="288">
        <v>302</v>
      </c>
      <c r="P14" s="288"/>
      <c r="Q14" s="288"/>
      <c r="R14" s="288"/>
      <c r="S14" s="557">
        <f t="shared" si="1"/>
        <v>6025</v>
      </c>
      <c r="T14" s="288"/>
      <c r="U14" s="528">
        <v>38000</v>
      </c>
      <c r="V14" s="528"/>
      <c r="W14" s="528"/>
      <c r="X14" s="288">
        <v>6.3</v>
      </c>
      <c r="Y14" s="285">
        <v>75.77</v>
      </c>
      <c r="Z14" s="285">
        <v>0.3</v>
      </c>
      <c r="AA14" s="288"/>
      <c r="AB14" s="288"/>
      <c r="AC14" s="288"/>
      <c r="AD14" s="288">
        <v>29</v>
      </c>
      <c r="AE14" s="288">
        <v>251.89</v>
      </c>
      <c r="AF14" s="288">
        <v>0.15</v>
      </c>
      <c r="AG14" s="288"/>
      <c r="AH14" s="288"/>
      <c r="AI14" s="285"/>
      <c r="AJ14" s="501">
        <v>3516655219</v>
      </c>
      <c r="AK14" s="501">
        <v>2068626900</v>
      </c>
      <c r="AL14" s="288"/>
      <c r="AM14" s="288">
        <v>2891380</v>
      </c>
      <c r="AN14" s="534">
        <f>SUM(AJ14:AM14)</f>
        <v>5588173499</v>
      </c>
    </row>
    <row r="15" spans="1:40" s="286" customFormat="1" ht="17.25" customHeight="1">
      <c r="A15" s="282">
        <f t="shared" si="2"/>
        <v>10</v>
      </c>
      <c r="B15" s="288" t="s">
        <v>109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557">
        <f t="shared" si="1"/>
        <v>0</v>
      </c>
      <c r="T15" s="288"/>
      <c r="U15" s="528"/>
      <c r="V15" s="528"/>
      <c r="W15" s="528"/>
      <c r="X15" s="288"/>
      <c r="Y15" s="285"/>
      <c r="Z15" s="285"/>
      <c r="AA15" s="288"/>
      <c r="AB15" s="288"/>
      <c r="AC15" s="288"/>
      <c r="AD15" s="288"/>
      <c r="AE15" s="288"/>
      <c r="AF15" s="288"/>
      <c r="AG15" s="288"/>
      <c r="AH15" s="288"/>
      <c r="AI15" s="285"/>
      <c r="AJ15" s="501"/>
      <c r="AK15" s="501"/>
      <c r="AL15" s="288"/>
      <c r="AM15" s="288"/>
      <c r="AN15" s="534">
        <f aca="true" t="shared" si="3" ref="AN15:AN38">SUM(AJ15:AM15)</f>
        <v>0</v>
      </c>
    </row>
    <row r="16" spans="1:40" s="286" customFormat="1" ht="17.25" customHeight="1">
      <c r="A16" s="289">
        <f t="shared" si="2"/>
        <v>11</v>
      </c>
      <c r="B16" s="283" t="s">
        <v>77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557">
        <f t="shared" si="1"/>
        <v>0</v>
      </c>
      <c r="T16" s="283"/>
      <c r="U16" s="529"/>
      <c r="V16" s="529"/>
      <c r="W16" s="529"/>
      <c r="X16" s="283"/>
      <c r="Y16" s="284"/>
      <c r="Z16" s="284"/>
      <c r="AA16" s="284"/>
      <c r="AB16" s="283"/>
      <c r="AC16" s="283"/>
      <c r="AD16" s="283"/>
      <c r="AE16" s="283"/>
      <c r="AF16" s="283"/>
      <c r="AG16" s="283"/>
      <c r="AH16" s="283"/>
      <c r="AI16" s="283"/>
      <c r="AJ16" s="516"/>
      <c r="AK16" s="516"/>
      <c r="AL16" s="283"/>
      <c r="AM16" s="283"/>
      <c r="AN16" s="534">
        <f t="shared" si="3"/>
        <v>0</v>
      </c>
    </row>
    <row r="17" spans="1:40" s="286" customFormat="1" ht="17.25" customHeight="1">
      <c r="A17" s="290" t="s">
        <v>110</v>
      </c>
      <c r="B17" s="291" t="s">
        <v>63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57">
        <f t="shared" si="1"/>
        <v>0</v>
      </c>
      <c r="T17" s="500"/>
      <c r="U17" s="543"/>
      <c r="V17" s="543"/>
      <c r="W17" s="543"/>
      <c r="X17" s="500"/>
      <c r="Y17" s="292"/>
      <c r="Z17" s="292"/>
      <c r="AA17" s="507"/>
      <c r="AB17" s="507"/>
      <c r="AC17" s="507"/>
      <c r="AD17" s="507"/>
      <c r="AE17" s="507"/>
      <c r="AF17" s="507"/>
      <c r="AG17" s="507"/>
      <c r="AH17" s="507"/>
      <c r="AI17" s="508"/>
      <c r="AJ17" s="530"/>
      <c r="AK17" s="530"/>
      <c r="AL17" s="517"/>
      <c r="AM17" s="517"/>
      <c r="AN17" s="534">
        <f t="shared" si="3"/>
        <v>0</v>
      </c>
    </row>
    <row r="18" spans="1:40" s="293" customFormat="1" ht="17.25" customHeight="1">
      <c r="A18" s="145">
        <v>12</v>
      </c>
      <c r="B18" s="146" t="s">
        <v>78</v>
      </c>
      <c r="C18" s="146">
        <v>20</v>
      </c>
      <c r="D18" s="146">
        <v>6500</v>
      </c>
      <c r="E18" s="146">
        <v>5</v>
      </c>
      <c r="F18" s="146"/>
      <c r="G18" s="146">
        <v>1</v>
      </c>
      <c r="H18" s="146">
        <v>27</v>
      </c>
      <c r="I18" s="146">
        <v>1541</v>
      </c>
      <c r="J18" s="146">
        <v>192</v>
      </c>
      <c r="K18" s="146"/>
      <c r="L18" s="146"/>
      <c r="M18" s="146"/>
      <c r="N18" s="146"/>
      <c r="O18" s="146">
        <v>21</v>
      </c>
      <c r="P18" s="146"/>
      <c r="Q18" s="146"/>
      <c r="R18" s="146"/>
      <c r="S18" s="557">
        <f t="shared" si="1"/>
        <v>1562</v>
      </c>
      <c r="T18" s="146"/>
      <c r="U18" s="542"/>
      <c r="V18" s="542"/>
      <c r="W18" s="542"/>
      <c r="X18" s="146"/>
      <c r="Y18" s="287">
        <v>17.2</v>
      </c>
      <c r="Z18" s="287">
        <v>0.8</v>
      </c>
      <c r="AA18" s="505"/>
      <c r="AB18" s="505"/>
      <c r="AC18" s="505"/>
      <c r="AD18" s="505"/>
      <c r="AE18" s="505"/>
      <c r="AF18" s="505"/>
      <c r="AG18" s="505"/>
      <c r="AH18" s="505">
        <v>1358</v>
      </c>
      <c r="AI18" s="506">
        <v>31.53</v>
      </c>
      <c r="AJ18" s="515">
        <v>1141465</v>
      </c>
      <c r="AK18" s="515"/>
      <c r="AL18" s="515">
        <v>875000000</v>
      </c>
      <c r="AM18" s="505">
        <v>860000000</v>
      </c>
      <c r="AN18" s="534">
        <f t="shared" si="3"/>
        <v>1736141465</v>
      </c>
    </row>
    <row r="19" spans="1:40" s="286" customFormat="1" ht="17.25" customHeight="1">
      <c r="A19" s="282">
        <v>13</v>
      </c>
      <c r="B19" s="288" t="s">
        <v>79</v>
      </c>
      <c r="C19" s="288">
        <v>117</v>
      </c>
      <c r="D19" s="288"/>
      <c r="E19" s="288">
        <v>45</v>
      </c>
      <c r="F19" s="288">
        <v>428</v>
      </c>
      <c r="G19" s="288">
        <v>6</v>
      </c>
      <c r="H19" s="288">
        <v>21</v>
      </c>
      <c r="I19" s="288"/>
      <c r="J19" s="288">
        <v>2294</v>
      </c>
      <c r="K19" s="288">
        <v>233</v>
      </c>
      <c r="L19" s="288"/>
      <c r="M19" s="288">
        <v>11</v>
      </c>
      <c r="N19" s="288">
        <v>3</v>
      </c>
      <c r="O19" s="288">
        <v>0</v>
      </c>
      <c r="P19" s="288"/>
      <c r="Q19" s="288"/>
      <c r="R19" s="288"/>
      <c r="S19" s="557">
        <f t="shared" si="1"/>
        <v>233</v>
      </c>
      <c r="T19" s="288"/>
      <c r="U19" s="528"/>
      <c r="V19" s="528">
        <v>345000</v>
      </c>
      <c r="W19" s="528">
        <v>236000</v>
      </c>
      <c r="X19" s="288"/>
      <c r="Y19" s="285"/>
      <c r="Z19" s="285"/>
      <c r="AA19" s="288"/>
      <c r="AB19" s="288">
        <v>52</v>
      </c>
      <c r="AC19" s="288">
        <v>0.8</v>
      </c>
      <c r="AD19" s="288"/>
      <c r="AE19" s="288">
        <v>331.5</v>
      </c>
      <c r="AF19" s="288">
        <v>41.7</v>
      </c>
      <c r="AG19" s="288"/>
      <c r="AH19" s="288"/>
      <c r="AI19" s="285"/>
      <c r="AJ19" s="501"/>
      <c r="AK19" s="501"/>
      <c r="AL19" s="528">
        <v>11485954801</v>
      </c>
      <c r="AM19" s="288"/>
      <c r="AN19" s="534">
        <f t="shared" si="3"/>
        <v>11485954801</v>
      </c>
    </row>
    <row r="20" spans="1:40" s="286" customFormat="1" ht="17.25" customHeight="1">
      <c r="A20" s="282">
        <f>A19+1</f>
        <v>14</v>
      </c>
      <c r="B20" s="288" t="s">
        <v>111</v>
      </c>
      <c r="C20" s="288"/>
      <c r="D20" s="288"/>
      <c r="E20" s="288">
        <v>3</v>
      </c>
      <c r="F20" s="288">
        <v>262</v>
      </c>
      <c r="G20" s="288">
        <v>1</v>
      </c>
      <c r="H20" s="288">
        <v>12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557">
        <f t="shared" si="1"/>
        <v>0</v>
      </c>
      <c r="T20" s="288"/>
      <c r="U20" s="528"/>
      <c r="V20" s="528">
        <v>463000</v>
      </c>
      <c r="W20" s="528">
        <v>17000</v>
      </c>
      <c r="X20" s="288"/>
      <c r="Y20" s="285"/>
      <c r="Z20" s="285"/>
      <c r="AA20" s="288"/>
      <c r="AB20" s="288"/>
      <c r="AC20" s="288"/>
      <c r="AD20" s="288"/>
      <c r="AE20" s="288"/>
      <c r="AF20" s="288"/>
      <c r="AG20" s="288"/>
      <c r="AH20" s="288"/>
      <c r="AI20" s="285"/>
      <c r="AJ20" s="501"/>
      <c r="AK20" s="501"/>
      <c r="AL20" s="288"/>
      <c r="AM20" s="288"/>
      <c r="AN20" s="534">
        <f t="shared" si="3"/>
        <v>0</v>
      </c>
    </row>
    <row r="21" spans="1:40" s="286" customFormat="1" ht="17.25" customHeight="1">
      <c r="A21" s="282">
        <f>A20+1</f>
        <v>15</v>
      </c>
      <c r="B21" s="288" t="s">
        <v>112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557">
        <f t="shared" si="1"/>
        <v>0</v>
      </c>
      <c r="T21" s="288"/>
      <c r="U21" s="528"/>
      <c r="V21" s="528"/>
      <c r="W21" s="528"/>
      <c r="X21" s="288"/>
      <c r="Y21" s="285"/>
      <c r="Z21" s="285"/>
      <c r="AA21" s="288"/>
      <c r="AB21" s="288"/>
      <c r="AC21" s="288"/>
      <c r="AD21" s="288"/>
      <c r="AE21" s="288"/>
      <c r="AF21" s="288"/>
      <c r="AG21" s="288"/>
      <c r="AH21" s="288"/>
      <c r="AI21" s="285"/>
      <c r="AJ21" s="501"/>
      <c r="AK21" s="501"/>
      <c r="AL21" s="288"/>
      <c r="AM21" s="288"/>
      <c r="AN21" s="534">
        <f t="shared" si="3"/>
        <v>0</v>
      </c>
    </row>
    <row r="22" spans="1:40" s="286" customFormat="1" ht="17.25" customHeight="1">
      <c r="A22" s="289">
        <f>A21+1</f>
        <v>16</v>
      </c>
      <c r="B22" s="283" t="s">
        <v>81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557">
        <f t="shared" si="1"/>
        <v>0</v>
      </c>
      <c r="T22" s="283"/>
      <c r="U22" s="529"/>
      <c r="V22" s="529"/>
      <c r="W22" s="529"/>
      <c r="X22" s="283"/>
      <c r="Y22" s="284"/>
      <c r="Z22" s="284"/>
      <c r="AA22" s="518"/>
      <c r="AB22" s="518"/>
      <c r="AC22" s="518"/>
      <c r="AD22" s="518"/>
      <c r="AE22" s="518"/>
      <c r="AF22" s="518"/>
      <c r="AG22" s="518"/>
      <c r="AH22" s="518"/>
      <c r="AI22" s="519"/>
      <c r="AJ22" s="516"/>
      <c r="AK22" s="516"/>
      <c r="AL22" s="518"/>
      <c r="AM22" s="518"/>
      <c r="AN22" s="534">
        <f t="shared" si="3"/>
        <v>0</v>
      </c>
    </row>
    <row r="23" spans="1:40" s="286" customFormat="1" ht="17.25" customHeight="1">
      <c r="A23" s="290" t="s">
        <v>113</v>
      </c>
      <c r="B23" s="291" t="s">
        <v>64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557">
        <f t="shared" si="1"/>
        <v>0</v>
      </c>
      <c r="T23" s="291"/>
      <c r="U23" s="544"/>
      <c r="V23" s="544"/>
      <c r="W23" s="544"/>
      <c r="X23" s="291"/>
      <c r="Y23" s="294"/>
      <c r="Z23" s="294"/>
      <c r="AA23" s="507"/>
      <c r="AB23" s="507"/>
      <c r="AC23" s="507"/>
      <c r="AD23" s="507"/>
      <c r="AE23" s="507"/>
      <c r="AF23" s="507"/>
      <c r="AG23" s="507"/>
      <c r="AH23" s="507"/>
      <c r="AI23" s="508"/>
      <c r="AJ23" s="530"/>
      <c r="AK23" s="530"/>
      <c r="AL23" s="517"/>
      <c r="AM23" s="517"/>
      <c r="AN23" s="534">
        <f t="shared" si="3"/>
        <v>0</v>
      </c>
    </row>
    <row r="24" spans="1:40" s="293" customFormat="1" ht="17.25" customHeight="1">
      <c r="A24" s="145">
        <v>17</v>
      </c>
      <c r="B24" s="146" t="s">
        <v>114</v>
      </c>
      <c r="C24" s="146">
        <v>186</v>
      </c>
      <c r="D24" s="146">
        <v>1706</v>
      </c>
      <c r="E24" s="146">
        <v>58</v>
      </c>
      <c r="F24" s="146">
        <v>247</v>
      </c>
      <c r="G24" s="146">
        <v>10</v>
      </c>
      <c r="H24" s="146"/>
      <c r="I24" s="542"/>
      <c r="J24" s="146">
        <v>15911</v>
      </c>
      <c r="K24" s="146">
        <v>821</v>
      </c>
      <c r="L24" s="146"/>
      <c r="M24" s="146">
        <v>52</v>
      </c>
      <c r="N24" s="146">
        <v>9</v>
      </c>
      <c r="O24" s="146"/>
      <c r="P24" s="146"/>
      <c r="Q24" s="146">
        <v>353000</v>
      </c>
      <c r="R24" s="146">
        <v>60000</v>
      </c>
      <c r="S24" s="557">
        <f t="shared" si="1"/>
        <v>821</v>
      </c>
      <c r="T24" s="146"/>
      <c r="U24" s="542"/>
      <c r="V24" s="542"/>
      <c r="W24" s="542"/>
      <c r="X24" s="146"/>
      <c r="Y24" s="287">
        <v>30.62</v>
      </c>
      <c r="Z24" s="287">
        <v>4.36</v>
      </c>
      <c r="AA24" s="505"/>
      <c r="AB24" s="505">
        <v>393.86</v>
      </c>
      <c r="AC24" s="505">
        <v>41.03</v>
      </c>
      <c r="AD24" s="505"/>
      <c r="AE24" s="505"/>
      <c r="AF24" s="505"/>
      <c r="AG24" s="505"/>
      <c r="AH24" s="505"/>
      <c r="AI24" s="506"/>
      <c r="AJ24" s="515"/>
      <c r="AK24" s="515"/>
      <c r="AL24" s="527">
        <f>34480000000-17157000000</f>
        <v>17323000000</v>
      </c>
      <c r="AM24" s="505"/>
      <c r="AN24" s="534">
        <f t="shared" si="3"/>
        <v>17323000000</v>
      </c>
    </row>
    <row r="25" spans="1:40" s="286" customFormat="1" ht="17.25" customHeight="1">
      <c r="A25" s="282">
        <f>A24+1</f>
        <v>18</v>
      </c>
      <c r="B25" s="288" t="s">
        <v>115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557">
        <f t="shared" si="1"/>
        <v>0</v>
      </c>
      <c r="T25" s="288"/>
      <c r="U25" s="528"/>
      <c r="V25" s="528"/>
      <c r="W25" s="528"/>
      <c r="X25" s="288"/>
      <c r="Y25" s="285"/>
      <c r="Z25" s="285"/>
      <c r="AA25" s="288"/>
      <c r="AB25" s="288"/>
      <c r="AC25" s="288"/>
      <c r="AD25" s="288"/>
      <c r="AE25" s="288"/>
      <c r="AF25" s="288"/>
      <c r="AG25" s="288"/>
      <c r="AH25" s="288"/>
      <c r="AI25" s="285"/>
      <c r="AJ25" s="501"/>
      <c r="AK25" s="501"/>
      <c r="AL25" s="288"/>
      <c r="AM25" s="288"/>
      <c r="AN25" s="534">
        <f t="shared" si="3"/>
        <v>0</v>
      </c>
    </row>
    <row r="26" spans="1:40" s="286" customFormat="1" ht="17.25" customHeight="1">
      <c r="A26" s="282">
        <f>A25+1</f>
        <v>19</v>
      </c>
      <c r="B26" s="288" t="s">
        <v>84</v>
      </c>
      <c r="C26" s="288"/>
      <c r="D26" s="288"/>
      <c r="E26" s="288"/>
      <c r="F26" s="288"/>
      <c r="G26" s="288">
        <v>3</v>
      </c>
      <c r="H26" s="288">
        <v>5</v>
      </c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557">
        <f t="shared" si="1"/>
        <v>0</v>
      </c>
      <c r="T26" s="288"/>
      <c r="U26" s="528"/>
      <c r="V26" s="528"/>
      <c r="W26" s="528"/>
      <c r="X26" s="288"/>
      <c r="Y26" s="285"/>
      <c r="Z26" s="285"/>
      <c r="AA26" s="288"/>
      <c r="AB26" s="288"/>
      <c r="AC26" s="288"/>
      <c r="AD26" s="288"/>
      <c r="AE26" s="288"/>
      <c r="AF26" s="288"/>
      <c r="AG26" s="288"/>
      <c r="AH26" s="288"/>
      <c r="AI26" s="285"/>
      <c r="AJ26" s="501"/>
      <c r="AK26" s="501"/>
      <c r="AL26" s="288"/>
      <c r="AM26" s="288"/>
      <c r="AN26" s="534">
        <f t="shared" si="3"/>
        <v>0</v>
      </c>
    </row>
    <row r="27" spans="1:40" s="286" customFormat="1" ht="17.25" customHeight="1">
      <c r="A27" s="282">
        <f>A26+1</f>
        <v>20</v>
      </c>
      <c r="B27" s="288" t="s">
        <v>83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557">
        <f t="shared" si="1"/>
        <v>0</v>
      </c>
      <c r="T27" s="288"/>
      <c r="U27" s="528"/>
      <c r="V27" s="528"/>
      <c r="W27" s="528"/>
      <c r="X27" s="288"/>
      <c r="Y27" s="285"/>
      <c r="Z27" s="285"/>
      <c r="AA27" s="288"/>
      <c r="AB27" s="288"/>
      <c r="AC27" s="288"/>
      <c r="AD27" s="288"/>
      <c r="AE27" s="288"/>
      <c r="AF27" s="288"/>
      <c r="AG27" s="288"/>
      <c r="AH27" s="288"/>
      <c r="AI27" s="285"/>
      <c r="AJ27" s="501"/>
      <c r="AK27" s="501"/>
      <c r="AL27" s="288"/>
      <c r="AM27" s="288"/>
      <c r="AN27" s="534">
        <f t="shared" si="3"/>
        <v>0</v>
      </c>
    </row>
    <row r="28" spans="1:40" s="286" customFormat="1" ht="17.25" customHeight="1">
      <c r="A28" s="282">
        <f>A27+1</f>
        <v>21</v>
      </c>
      <c r="B28" s="288" t="s">
        <v>85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557">
        <f t="shared" si="1"/>
        <v>0</v>
      </c>
      <c r="T28" s="288"/>
      <c r="U28" s="528"/>
      <c r="V28" s="528">
        <v>120000</v>
      </c>
      <c r="W28" s="528">
        <v>50000</v>
      </c>
      <c r="X28" s="288"/>
      <c r="Y28" s="285"/>
      <c r="Z28" s="285"/>
      <c r="AA28" s="520"/>
      <c r="AB28" s="520"/>
      <c r="AC28" s="520"/>
      <c r="AD28" s="520"/>
      <c r="AE28" s="520"/>
      <c r="AF28" s="520"/>
      <c r="AG28" s="520"/>
      <c r="AH28" s="520"/>
      <c r="AI28" s="521"/>
      <c r="AJ28" s="501"/>
      <c r="AK28" s="501"/>
      <c r="AL28" s="520"/>
      <c r="AM28" s="520"/>
      <c r="AN28" s="534">
        <f t="shared" si="3"/>
        <v>0</v>
      </c>
    </row>
    <row r="29" spans="1:40" s="286" customFormat="1" ht="17.25" customHeight="1">
      <c r="A29" s="282">
        <f>A28+1</f>
        <v>22</v>
      </c>
      <c r="B29" s="283" t="s">
        <v>86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557">
        <f t="shared" si="1"/>
        <v>0</v>
      </c>
      <c r="T29" s="283"/>
      <c r="U29" s="529"/>
      <c r="V29" s="529"/>
      <c r="W29" s="529"/>
      <c r="X29" s="283"/>
      <c r="Y29" s="284"/>
      <c r="Z29" s="284"/>
      <c r="AA29" s="283"/>
      <c r="AB29" s="283"/>
      <c r="AC29" s="283"/>
      <c r="AD29" s="283"/>
      <c r="AE29" s="283"/>
      <c r="AF29" s="283"/>
      <c r="AG29" s="283"/>
      <c r="AH29" s="283"/>
      <c r="AI29" s="284"/>
      <c r="AJ29" s="516"/>
      <c r="AK29" s="516"/>
      <c r="AL29" s="283"/>
      <c r="AM29" s="283"/>
      <c r="AN29" s="534">
        <f t="shared" si="3"/>
        <v>0</v>
      </c>
    </row>
    <row r="30" spans="1:40" s="286" customFormat="1" ht="17.25" customHeight="1">
      <c r="A30" s="290" t="s">
        <v>117</v>
      </c>
      <c r="B30" s="291" t="s">
        <v>65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557">
        <f t="shared" si="1"/>
        <v>0</v>
      </c>
      <c r="T30" s="291"/>
      <c r="U30" s="544"/>
      <c r="V30" s="544"/>
      <c r="W30" s="544"/>
      <c r="X30" s="291"/>
      <c r="Y30" s="294"/>
      <c r="Z30" s="294"/>
      <c r="AA30" s="507"/>
      <c r="AB30" s="507"/>
      <c r="AC30" s="507"/>
      <c r="AD30" s="507"/>
      <c r="AE30" s="507"/>
      <c r="AF30" s="507"/>
      <c r="AG30" s="507"/>
      <c r="AH30" s="507"/>
      <c r="AI30" s="508"/>
      <c r="AJ30" s="530"/>
      <c r="AK30" s="530"/>
      <c r="AL30" s="517"/>
      <c r="AM30" s="517"/>
      <c r="AN30" s="534">
        <f t="shared" si="3"/>
        <v>0</v>
      </c>
    </row>
    <row r="31" spans="1:40" s="293" customFormat="1" ht="17.25" customHeight="1">
      <c r="A31" s="145">
        <v>23</v>
      </c>
      <c r="B31" s="146" t="s">
        <v>87</v>
      </c>
      <c r="C31" s="146">
        <v>346</v>
      </c>
      <c r="D31" s="146">
        <v>843</v>
      </c>
      <c r="E31" s="146">
        <v>72</v>
      </c>
      <c r="F31" s="146">
        <v>97</v>
      </c>
      <c r="G31" s="146">
        <v>9</v>
      </c>
      <c r="H31" s="146">
        <v>9</v>
      </c>
      <c r="I31" s="146">
        <v>3321</v>
      </c>
      <c r="J31" s="146">
        <v>5049</v>
      </c>
      <c r="K31" s="146">
        <v>24</v>
      </c>
      <c r="L31" s="146"/>
      <c r="M31" s="146">
        <v>9</v>
      </c>
      <c r="N31" s="146">
        <v>2</v>
      </c>
      <c r="O31" s="146">
        <v>23</v>
      </c>
      <c r="P31" s="146"/>
      <c r="Q31" s="146">
        <v>109</v>
      </c>
      <c r="R31" s="146">
        <v>24</v>
      </c>
      <c r="S31" s="557">
        <f t="shared" si="1"/>
        <v>3368</v>
      </c>
      <c r="T31" s="146"/>
      <c r="U31" s="542"/>
      <c r="V31" s="542">
        <v>411000</v>
      </c>
      <c r="W31" s="542">
        <v>88000</v>
      </c>
      <c r="X31" s="146"/>
      <c r="Y31" s="287">
        <v>30</v>
      </c>
      <c r="Z31" s="287">
        <v>0.5</v>
      </c>
      <c r="AA31" s="505"/>
      <c r="AB31" s="505">
        <v>30</v>
      </c>
      <c r="AC31" s="505">
        <v>9.2</v>
      </c>
      <c r="AD31" s="505"/>
      <c r="AE31" s="505">
        <v>184.5</v>
      </c>
      <c r="AF31" s="505">
        <v>31.4</v>
      </c>
      <c r="AG31" s="505"/>
      <c r="AH31" s="505">
        <v>905.2</v>
      </c>
      <c r="AI31" s="506">
        <v>108</v>
      </c>
      <c r="AJ31" s="527">
        <v>25986569878</v>
      </c>
      <c r="AK31" s="527"/>
      <c r="AL31" s="527"/>
      <c r="AM31" s="527">
        <v>4823640000</v>
      </c>
      <c r="AN31" s="534">
        <f t="shared" si="3"/>
        <v>30810209878</v>
      </c>
    </row>
    <row r="32" spans="1:40" s="286" customFormat="1" ht="17.25" customHeight="1">
      <c r="A32" s="282">
        <f>A31+1</f>
        <v>24</v>
      </c>
      <c r="B32" s="288" t="s">
        <v>88</v>
      </c>
      <c r="C32" s="288">
        <v>104</v>
      </c>
      <c r="D32" s="288">
        <v>2328</v>
      </c>
      <c r="E32" s="288">
        <v>16</v>
      </c>
      <c r="F32" s="288">
        <v>184</v>
      </c>
      <c r="G32" s="288">
        <v>10</v>
      </c>
      <c r="H32" s="288">
        <v>15</v>
      </c>
      <c r="I32" s="288">
        <v>56</v>
      </c>
      <c r="J32" s="288">
        <v>3205</v>
      </c>
      <c r="K32" s="288">
        <v>260</v>
      </c>
      <c r="L32" s="288">
        <v>9</v>
      </c>
      <c r="M32" s="288">
        <v>10</v>
      </c>
      <c r="N32" s="288">
        <v>2</v>
      </c>
      <c r="O32" s="288">
        <v>44</v>
      </c>
      <c r="P32" s="288">
        <v>23</v>
      </c>
      <c r="Q32" s="288">
        <v>280</v>
      </c>
      <c r="R32" s="288">
        <v>7</v>
      </c>
      <c r="S32" s="557">
        <f t="shared" si="1"/>
        <v>360</v>
      </c>
      <c r="T32" s="288"/>
      <c r="U32" s="528"/>
      <c r="V32" s="528">
        <v>183000</v>
      </c>
      <c r="W32" s="528">
        <v>146000</v>
      </c>
      <c r="X32" s="288">
        <v>10.3</v>
      </c>
      <c r="Y32" s="285">
        <v>11.5</v>
      </c>
      <c r="Z32" s="285">
        <v>9.6</v>
      </c>
      <c r="AA32" s="288">
        <v>29</v>
      </c>
      <c r="AB32" s="288">
        <v>30</v>
      </c>
      <c r="AC32" s="288">
        <v>0.2</v>
      </c>
      <c r="AD32" s="288"/>
      <c r="AE32" s="288"/>
      <c r="AF32" s="288"/>
      <c r="AG32" s="288"/>
      <c r="AH32" s="288"/>
      <c r="AI32" s="285"/>
      <c r="AJ32" s="528">
        <v>88611600</v>
      </c>
      <c r="AK32" s="528"/>
      <c r="AL32" s="528">
        <v>12500000000</v>
      </c>
      <c r="AM32" s="528">
        <v>1000518000</v>
      </c>
      <c r="AN32" s="534">
        <f t="shared" si="3"/>
        <v>13589129600</v>
      </c>
    </row>
    <row r="33" spans="1:40" s="286" customFormat="1" ht="17.25" customHeight="1">
      <c r="A33" s="282">
        <f>A32+1</f>
        <v>25</v>
      </c>
      <c r="B33" s="288" t="s">
        <v>89</v>
      </c>
      <c r="C33" s="288">
        <v>10</v>
      </c>
      <c r="D33" s="288"/>
      <c r="E33" s="288">
        <v>27</v>
      </c>
      <c r="F33" s="288">
        <v>71</v>
      </c>
      <c r="G33" s="288">
        <v>8</v>
      </c>
      <c r="H33" s="288">
        <v>8</v>
      </c>
      <c r="I33" s="288">
        <v>102</v>
      </c>
      <c r="J33" s="288">
        <v>1052</v>
      </c>
      <c r="K33" s="288">
        <v>48</v>
      </c>
      <c r="L33" s="288"/>
      <c r="M33" s="288">
        <v>5</v>
      </c>
      <c r="N33" s="288">
        <v>2</v>
      </c>
      <c r="O33" s="288">
        <v>10</v>
      </c>
      <c r="P33" s="288"/>
      <c r="Q33" s="288">
        <v>65</v>
      </c>
      <c r="R33" s="288">
        <v>42</v>
      </c>
      <c r="S33" s="557">
        <f t="shared" si="1"/>
        <v>160</v>
      </c>
      <c r="T33" s="288"/>
      <c r="U33" s="528"/>
      <c r="V33" s="528">
        <v>223794</v>
      </c>
      <c r="W33" s="528">
        <v>121139</v>
      </c>
      <c r="X33" s="288"/>
      <c r="Y33" s="285">
        <v>6.35</v>
      </c>
      <c r="Z33" s="285">
        <v>5.46</v>
      </c>
      <c r="AA33" s="288"/>
      <c r="AB33" s="288">
        <v>28.94</v>
      </c>
      <c r="AC33" s="288">
        <v>28.44</v>
      </c>
      <c r="AD33" s="288"/>
      <c r="AE33" s="288">
        <v>12</v>
      </c>
      <c r="AF33" s="288">
        <v>1</v>
      </c>
      <c r="AG33" s="288"/>
      <c r="AH33" s="288">
        <v>478.3</v>
      </c>
      <c r="AI33" s="285">
        <v>94</v>
      </c>
      <c r="AJ33" s="527">
        <v>372327000</v>
      </c>
      <c r="AK33" s="527"/>
      <c r="AL33" s="527"/>
      <c r="AM33" s="527">
        <v>2422289</v>
      </c>
      <c r="AN33" s="534">
        <f t="shared" si="3"/>
        <v>374749289</v>
      </c>
    </row>
    <row r="34" spans="1:40" s="286" customFormat="1" ht="17.25" customHeight="1">
      <c r="A34" s="282">
        <f>A33+1</f>
        <v>26</v>
      </c>
      <c r="B34" s="288" t="s">
        <v>90</v>
      </c>
      <c r="C34" s="288">
        <v>255</v>
      </c>
      <c r="D34" s="288">
        <v>2160</v>
      </c>
      <c r="E34" s="288">
        <v>90</v>
      </c>
      <c r="F34" s="288">
        <v>184</v>
      </c>
      <c r="G34" s="288">
        <v>17</v>
      </c>
      <c r="H34" s="288">
        <v>17</v>
      </c>
      <c r="I34" s="288">
        <v>0</v>
      </c>
      <c r="J34" s="288">
        <v>3712</v>
      </c>
      <c r="K34" s="288"/>
      <c r="L34" s="288"/>
      <c r="M34" s="288"/>
      <c r="N34" s="288"/>
      <c r="O34" s="288">
        <v>7</v>
      </c>
      <c r="P34" s="288">
        <v>53</v>
      </c>
      <c r="Q34" s="288">
        <v>91</v>
      </c>
      <c r="R34" s="288">
        <v>30</v>
      </c>
      <c r="S34" s="557">
        <f t="shared" si="1"/>
        <v>7</v>
      </c>
      <c r="T34" s="288"/>
      <c r="U34" s="528">
        <v>232500</v>
      </c>
      <c r="V34" s="528">
        <v>265000</v>
      </c>
      <c r="W34" s="528">
        <v>200000</v>
      </c>
      <c r="X34" s="288"/>
      <c r="Y34" s="285"/>
      <c r="Z34" s="285"/>
      <c r="AA34" s="524">
        <v>19</v>
      </c>
      <c r="AB34" s="524">
        <v>86.4</v>
      </c>
      <c r="AC34" s="524">
        <v>4.9</v>
      </c>
      <c r="AD34" s="524"/>
      <c r="AE34" s="524"/>
      <c r="AF34" s="524"/>
      <c r="AG34" s="524">
        <v>451</v>
      </c>
      <c r="AH34" s="524">
        <v>2221.9</v>
      </c>
      <c r="AI34" s="514">
        <v>55.4</v>
      </c>
      <c r="AJ34" s="531"/>
      <c r="AK34" s="531"/>
      <c r="AL34" s="531">
        <v>9784100000</v>
      </c>
      <c r="AM34" s="531">
        <v>451435000</v>
      </c>
      <c r="AN34" s="534">
        <f t="shared" si="3"/>
        <v>10235535000</v>
      </c>
    </row>
    <row r="35" spans="1:40" s="286" customFormat="1" ht="17.25" customHeight="1">
      <c r="A35" s="289">
        <f>A34+1</f>
        <v>27</v>
      </c>
      <c r="B35" s="283" t="s">
        <v>91</v>
      </c>
      <c r="C35" s="283"/>
      <c r="D35" s="283"/>
      <c r="E35" s="283">
        <v>124</v>
      </c>
      <c r="F35" s="283">
        <v>148</v>
      </c>
      <c r="G35" s="283">
        <v>12</v>
      </c>
      <c r="H35" s="283">
        <v>12</v>
      </c>
      <c r="I35" s="283">
        <v>1829</v>
      </c>
      <c r="J35" s="283">
        <v>13117</v>
      </c>
      <c r="K35" s="283"/>
      <c r="L35" s="283"/>
      <c r="M35" s="283"/>
      <c r="N35" s="283"/>
      <c r="O35" s="283">
        <v>2</v>
      </c>
      <c r="P35" s="283"/>
      <c r="Q35" s="283">
        <v>194</v>
      </c>
      <c r="R35" s="283">
        <v>29</v>
      </c>
      <c r="S35" s="557">
        <f t="shared" si="1"/>
        <v>1831</v>
      </c>
      <c r="T35" s="283"/>
      <c r="U35" s="529"/>
      <c r="V35" s="529">
        <v>360000</v>
      </c>
      <c r="W35" s="529">
        <v>325000</v>
      </c>
      <c r="X35" s="283">
        <v>4.9</v>
      </c>
      <c r="Y35" s="284"/>
      <c r="Z35" s="284"/>
      <c r="AA35" s="547">
        <v>25.8</v>
      </c>
      <c r="AB35" s="525"/>
      <c r="AC35" s="525"/>
      <c r="AD35" s="525"/>
      <c r="AE35" s="525"/>
      <c r="AF35" s="525"/>
      <c r="AG35" s="547">
        <v>500</v>
      </c>
      <c r="AH35" s="525"/>
      <c r="AI35" s="526"/>
      <c r="AJ35" s="548">
        <v>6677345000</v>
      </c>
      <c r="AK35" s="532"/>
      <c r="AL35" s="548">
        <v>257546493000</v>
      </c>
      <c r="AM35" s="532"/>
      <c r="AN35" s="534">
        <f t="shared" si="3"/>
        <v>264223838000</v>
      </c>
    </row>
    <row r="36" spans="1:40" s="286" customFormat="1" ht="17.25" customHeight="1">
      <c r="A36" s="143" t="s">
        <v>118</v>
      </c>
      <c r="B36" s="144" t="s">
        <v>66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557">
        <f t="shared" si="1"/>
        <v>0</v>
      </c>
      <c r="T36" s="144"/>
      <c r="U36" s="545"/>
      <c r="V36" s="545"/>
      <c r="W36" s="545"/>
      <c r="X36" s="144"/>
      <c r="Y36" s="135"/>
      <c r="Z36" s="135"/>
      <c r="AA36" s="511"/>
      <c r="AB36" s="511"/>
      <c r="AC36" s="511"/>
      <c r="AD36" s="511"/>
      <c r="AE36" s="511"/>
      <c r="AF36" s="511"/>
      <c r="AG36" s="511"/>
      <c r="AH36" s="511"/>
      <c r="AI36" s="512"/>
      <c r="AJ36" s="504"/>
      <c r="AK36" s="504"/>
      <c r="AL36" s="517"/>
      <c r="AM36" s="517"/>
      <c r="AN36" s="534">
        <f t="shared" si="3"/>
        <v>0</v>
      </c>
    </row>
    <row r="37" spans="1:40" s="139" customFormat="1" ht="17.25" customHeight="1">
      <c r="A37" s="140">
        <v>28</v>
      </c>
      <c r="B37" s="141" t="s">
        <v>92</v>
      </c>
      <c r="C37" s="141">
        <v>9</v>
      </c>
      <c r="D37" s="141">
        <v>525</v>
      </c>
      <c r="E37" s="141">
        <v>4</v>
      </c>
      <c r="F37" s="141">
        <v>111</v>
      </c>
      <c r="G37" s="141">
        <v>3</v>
      </c>
      <c r="H37" s="141">
        <v>10</v>
      </c>
      <c r="I37" s="141"/>
      <c r="J37" s="141">
        <v>240</v>
      </c>
      <c r="K37" s="141"/>
      <c r="L37" s="141"/>
      <c r="M37" s="141"/>
      <c r="N37" s="141"/>
      <c r="O37" s="141">
        <v>9</v>
      </c>
      <c r="P37" s="141"/>
      <c r="Q37" s="141">
        <v>24</v>
      </c>
      <c r="R37" s="141">
        <v>11</v>
      </c>
      <c r="S37" s="557">
        <f t="shared" si="1"/>
        <v>9</v>
      </c>
      <c r="T37" s="141"/>
      <c r="U37" s="546">
        <v>180000</v>
      </c>
      <c r="V37" s="546"/>
      <c r="W37" s="546"/>
      <c r="X37" s="141"/>
      <c r="Y37" s="142"/>
      <c r="Z37" s="142"/>
      <c r="AA37" s="509">
        <v>100</v>
      </c>
      <c r="AB37" s="509"/>
      <c r="AC37" s="509"/>
      <c r="AD37" s="509"/>
      <c r="AE37" s="509"/>
      <c r="AF37" s="509"/>
      <c r="AG37" s="509"/>
      <c r="AH37" s="509">
        <v>2275</v>
      </c>
      <c r="AI37" s="510">
        <v>1511</v>
      </c>
      <c r="AJ37" s="533"/>
      <c r="AK37" s="533"/>
      <c r="AL37" s="533"/>
      <c r="AM37" s="533">
        <v>3300845400</v>
      </c>
      <c r="AN37" s="534">
        <f t="shared" si="3"/>
        <v>3300845400</v>
      </c>
    </row>
    <row r="38" spans="1:40" ht="17.25" customHeight="1">
      <c r="A38" s="147">
        <v>29</v>
      </c>
      <c r="B38" s="148" t="s">
        <v>93</v>
      </c>
      <c r="C38" s="148">
        <v>86</v>
      </c>
      <c r="D38" s="148"/>
      <c r="E38" s="148">
        <v>42</v>
      </c>
      <c r="F38" s="148">
        <v>171</v>
      </c>
      <c r="G38" s="148">
        <v>7</v>
      </c>
      <c r="H38" s="148">
        <v>11</v>
      </c>
      <c r="I38" s="535">
        <v>0</v>
      </c>
      <c r="J38" s="148">
        <v>8487</v>
      </c>
      <c r="K38" s="148"/>
      <c r="L38" s="148"/>
      <c r="M38" s="148"/>
      <c r="N38" s="148"/>
      <c r="O38" s="148">
        <v>36</v>
      </c>
      <c r="P38" s="148"/>
      <c r="Q38" s="148">
        <v>35</v>
      </c>
      <c r="R38" s="148">
        <v>15</v>
      </c>
      <c r="S38" s="557">
        <f t="shared" si="1"/>
        <v>36</v>
      </c>
      <c r="T38" s="148"/>
      <c r="U38" s="536"/>
      <c r="V38" s="536">
        <v>57500</v>
      </c>
      <c r="W38" s="536">
        <v>800</v>
      </c>
      <c r="X38" s="148"/>
      <c r="Y38" s="149">
        <v>3</v>
      </c>
      <c r="Z38" s="522">
        <v>0.9</v>
      </c>
      <c r="AA38" s="523"/>
      <c r="AB38" s="537">
        <v>43</v>
      </c>
      <c r="AC38" s="537">
        <v>1.04</v>
      </c>
      <c r="AD38" s="523"/>
      <c r="AE38" s="523"/>
      <c r="AF38" s="523"/>
      <c r="AG38" s="523"/>
      <c r="AH38" s="537">
        <v>1496</v>
      </c>
      <c r="AI38" s="538">
        <v>327</v>
      </c>
      <c r="AJ38" s="539">
        <v>666989000</v>
      </c>
      <c r="AK38" s="539"/>
      <c r="AL38" s="539">
        <v>1563303000</v>
      </c>
      <c r="AM38" s="539">
        <v>1044888000</v>
      </c>
      <c r="AN38" s="534">
        <f t="shared" si="3"/>
        <v>3275180000</v>
      </c>
    </row>
    <row r="39" spans="1:40" s="139" customFormat="1" ht="17.25" customHeight="1">
      <c r="A39" s="143"/>
      <c r="B39" s="144" t="s">
        <v>60</v>
      </c>
      <c r="C39" s="144">
        <f>SUM(C5:C38)</f>
        <v>8858</v>
      </c>
      <c r="D39" s="144">
        <f aca="true" t="shared" si="4" ref="D39:AN39">SUM(D5:D38)</f>
        <v>30325</v>
      </c>
      <c r="E39" s="144">
        <f t="shared" si="4"/>
        <v>1346</v>
      </c>
      <c r="F39" s="144">
        <f t="shared" si="4"/>
        <v>3277</v>
      </c>
      <c r="G39" s="144">
        <f t="shared" si="4"/>
        <v>153</v>
      </c>
      <c r="H39" s="144">
        <f t="shared" si="4"/>
        <v>228</v>
      </c>
      <c r="I39" s="541">
        <f>SUM(I5:I38)</f>
        <v>97734</v>
      </c>
      <c r="J39" s="545">
        <f>SUM(J5:J38)</f>
        <v>204461</v>
      </c>
      <c r="K39" s="545">
        <f t="shared" si="4"/>
        <v>5716</v>
      </c>
      <c r="L39" s="144">
        <f t="shared" si="4"/>
        <v>9</v>
      </c>
      <c r="M39" s="144">
        <f t="shared" si="4"/>
        <v>169</v>
      </c>
      <c r="N39" s="144">
        <f t="shared" si="4"/>
        <v>27</v>
      </c>
      <c r="O39" s="545">
        <f t="shared" si="4"/>
        <v>5060</v>
      </c>
      <c r="P39" s="144">
        <f t="shared" si="4"/>
        <v>270</v>
      </c>
      <c r="Q39" s="144">
        <f t="shared" si="4"/>
        <v>354434</v>
      </c>
      <c r="R39" s="144">
        <f t="shared" si="4"/>
        <v>60320</v>
      </c>
      <c r="S39" s="144"/>
      <c r="T39" s="144">
        <f t="shared" si="4"/>
        <v>1149</v>
      </c>
      <c r="U39" s="144">
        <f t="shared" si="4"/>
        <v>514312</v>
      </c>
      <c r="V39" s="144">
        <f t="shared" si="4"/>
        <v>4358443</v>
      </c>
      <c r="W39" s="144">
        <f t="shared" si="4"/>
        <v>1735819</v>
      </c>
      <c r="X39" s="144">
        <f t="shared" si="4"/>
        <v>25.1</v>
      </c>
      <c r="Y39" s="144">
        <f t="shared" si="4"/>
        <v>320.35</v>
      </c>
      <c r="Z39" s="144">
        <f t="shared" si="4"/>
        <v>23.619999999999997</v>
      </c>
      <c r="AA39" s="144">
        <f t="shared" si="4"/>
        <v>204.8</v>
      </c>
      <c r="AB39" s="144">
        <f t="shared" si="4"/>
        <v>786.98</v>
      </c>
      <c r="AC39" s="144">
        <f t="shared" si="4"/>
        <v>93.16400000000002</v>
      </c>
      <c r="AD39" s="144">
        <f t="shared" si="4"/>
        <v>29</v>
      </c>
      <c r="AE39" s="144">
        <f t="shared" si="4"/>
        <v>922.89</v>
      </c>
      <c r="AF39" s="144">
        <f t="shared" si="4"/>
        <v>97.85</v>
      </c>
      <c r="AG39" s="144">
        <f t="shared" si="4"/>
        <v>951</v>
      </c>
      <c r="AH39" s="144">
        <f t="shared" si="4"/>
        <v>17461.3</v>
      </c>
      <c r="AI39" s="144">
        <f t="shared" si="4"/>
        <v>2622.49</v>
      </c>
      <c r="AJ39" s="144">
        <f t="shared" si="4"/>
        <v>90012366092</v>
      </c>
      <c r="AK39" s="144">
        <f t="shared" si="4"/>
        <v>10052119900</v>
      </c>
      <c r="AL39" s="558">
        <f>SUM(AL5:AL38)</f>
        <v>622432539905</v>
      </c>
      <c r="AM39" s="144">
        <f t="shared" si="4"/>
        <v>230418007689</v>
      </c>
      <c r="AN39" s="144">
        <f t="shared" si="4"/>
        <v>952915033586</v>
      </c>
    </row>
    <row r="40" spans="1:37" s="139" customFormat="1" ht="17.25" customHeight="1">
      <c r="A40" s="133"/>
      <c r="B40" s="133" t="s">
        <v>214</v>
      </c>
      <c r="C40" s="133"/>
      <c r="D40" s="133"/>
      <c r="E40" s="133"/>
      <c r="F40" s="133"/>
      <c r="G40" s="133"/>
      <c r="H40" s="133"/>
      <c r="I40" s="550">
        <f>I39+K39+O39</f>
        <v>108510</v>
      </c>
      <c r="J40" s="133"/>
      <c r="K40" s="554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50"/>
      <c r="Z40" s="150"/>
      <c r="AJ40" s="150"/>
      <c r="AK40" s="150"/>
    </row>
    <row r="41" ht="12.75">
      <c r="B41" s="133" t="s">
        <v>316</v>
      </c>
    </row>
  </sheetData>
  <sheetProtection/>
  <mergeCells count="25">
    <mergeCell ref="AJ1:AM1"/>
    <mergeCell ref="A2:A3"/>
    <mergeCell ref="B2:B3"/>
    <mergeCell ref="K2:N2"/>
    <mergeCell ref="O2:R2"/>
    <mergeCell ref="X2:Z2"/>
    <mergeCell ref="AA2:AC2"/>
    <mergeCell ref="X1:AI1"/>
    <mergeCell ref="E2:E3"/>
    <mergeCell ref="D2:D3"/>
    <mergeCell ref="C2:C3"/>
    <mergeCell ref="AG2:AI2"/>
    <mergeCell ref="U2:W2"/>
    <mergeCell ref="T2:T3"/>
    <mergeCell ref="I2:I3"/>
    <mergeCell ref="H2:H3"/>
    <mergeCell ref="G2:G3"/>
    <mergeCell ref="F2:F3"/>
    <mergeCell ref="AD2:AF2"/>
    <mergeCell ref="AN2:AN3"/>
    <mergeCell ref="AJ2:AJ3"/>
    <mergeCell ref="AL2:AL3"/>
    <mergeCell ref="AM2:AM3"/>
    <mergeCell ref="AK2:AK3"/>
    <mergeCell ref="J2:J3"/>
  </mergeCells>
  <printOptions horizontalCentered="1"/>
  <pageMargins left="0.45" right="0.2" top="0.35" bottom="0.15" header="0.3" footer="0.3"/>
  <pageSetup horizontalDpi="600" verticalDpi="6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I15" sqref="I15"/>
    </sheetView>
  </sheetViews>
  <sheetFormatPr defaultColWidth="6.28125" defaultRowHeight="18" customHeight="1"/>
  <cols>
    <col min="1" max="1" width="4.140625" style="412" customWidth="1"/>
    <col min="2" max="2" width="12.57421875" style="412" customWidth="1"/>
    <col min="3" max="3" width="33.00390625" style="411" customWidth="1"/>
    <col min="4" max="4" width="21.140625" style="411" customWidth="1"/>
    <col min="5" max="5" width="21.00390625" style="411" customWidth="1"/>
    <col min="6" max="239" width="9.140625" style="411" customWidth="1"/>
    <col min="240" max="240" width="4.140625" style="411" customWidth="1"/>
    <col min="241" max="241" width="23.00390625" style="411" customWidth="1"/>
    <col min="242" max="242" width="8.57421875" style="411" customWidth="1"/>
    <col min="243" max="246" width="0" style="411" hidden="1" customWidth="1"/>
    <col min="247" max="247" width="8.28125" style="411" customWidth="1"/>
    <col min="248" max="248" width="9.57421875" style="411" customWidth="1"/>
    <col min="249" max="249" width="9.28125" style="411" customWidth="1"/>
    <col min="250" max="250" width="12.140625" style="411" customWidth="1"/>
    <col min="251" max="251" width="10.28125" style="411" customWidth="1"/>
    <col min="252" max="252" width="11.00390625" style="411" customWidth="1"/>
    <col min="253" max="253" width="10.8515625" style="411" customWidth="1"/>
    <col min="254" max="254" width="12.00390625" style="411" customWidth="1"/>
    <col min="255" max="255" width="6.421875" style="411" customWidth="1"/>
    <col min="256" max="16384" width="6.28125" style="411" customWidth="1"/>
  </cols>
  <sheetData>
    <row r="1" spans="1:5" ht="36" customHeight="1">
      <c r="A1" s="951" t="s">
        <v>417</v>
      </c>
      <c r="B1" s="951"/>
      <c r="C1" s="951"/>
      <c r="D1" s="951"/>
      <c r="E1" s="951"/>
    </row>
    <row r="2" spans="1:5" s="412" customFormat="1" ht="20.25" customHeight="1">
      <c r="A2" s="434" t="s">
        <v>352</v>
      </c>
      <c r="B2" s="434" t="s">
        <v>184</v>
      </c>
      <c r="C2" s="434" t="s">
        <v>404</v>
      </c>
      <c r="D2" s="434" t="s">
        <v>399</v>
      </c>
      <c r="E2" s="434" t="s">
        <v>382</v>
      </c>
    </row>
    <row r="3" spans="1:5" s="418" customFormat="1" ht="15.75" customHeight="1">
      <c r="A3" s="381" t="s">
        <v>105</v>
      </c>
      <c r="B3" s="381" t="s">
        <v>91</v>
      </c>
      <c r="C3" s="381"/>
      <c r="D3" s="419">
        <f>SUM(D4:D11)</f>
        <v>82979.68000000001</v>
      </c>
      <c r="E3" s="419">
        <f>SUM(E4:E11)</f>
        <v>96161284</v>
      </c>
    </row>
    <row r="4" spans="1:5" ht="14.25" customHeight="1">
      <c r="A4" s="422">
        <v>1</v>
      </c>
      <c r="B4" s="423"/>
      <c r="C4" s="424" t="s">
        <v>353</v>
      </c>
      <c r="D4" s="425">
        <v>6515.8</v>
      </c>
      <c r="E4" s="425">
        <v>10052784</v>
      </c>
    </row>
    <row r="5" spans="1:5" ht="14.25" customHeight="1">
      <c r="A5" s="414">
        <v>2</v>
      </c>
      <c r="B5" s="426"/>
      <c r="C5" s="174" t="s">
        <v>354</v>
      </c>
      <c r="D5" s="175">
        <v>21707.73</v>
      </c>
      <c r="E5" s="175">
        <v>23118067</v>
      </c>
    </row>
    <row r="6" spans="1:5" ht="14.25" customHeight="1">
      <c r="A6" s="414">
        <v>3</v>
      </c>
      <c r="B6" s="426"/>
      <c r="C6" s="174" t="s">
        <v>355</v>
      </c>
      <c r="D6" s="175">
        <v>18718.34</v>
      </c>
      <c r="E6" s="175">
        <v>20647125</v>
      </c>
    </row>
    <row r="7" spans="1:5" ht="14.25" customHeight="1">
      <c r="A7" s="414">
        <v>4</v>
      </c>
      <c r="B7" s="426"/>
      <c r="C7" s="174" t="s">
        <v>356</v>
      </c>
      <c r="D7" s="175">
        <v>5212.86</v>
      </c>
      <c r="E7" s="175">
        <v>5659035</v>
      </c>
    </row>
    <row r="8" spans="1:5" ht="14.25" customHeight="1">
      <c r="A8" s="414">
        <v>5</v>
      </c>
      <c r="B8" s="426"/>
      <c r="C8" s="174" t="s">
        <v>357</v>
      </c>
      <c r="D8" s="175">
        <v>16197.18</v>
      </c>
      <c r="E8" s="175">
        <v>17523688</v>
      </c>
    </row>
    <row r="9" spans="1:5" ht="14.25" customHeight="1">
      <c r="A9" s="414">
        <v>6</v>
      </c>
      <c r="B9" s="426"/>
      <c r="C9" s="174" t="s">
        <v>358</v>
      </c>
      <c r="D9" s="175">
        <v>3164.61</v>
      </c>
      <c r="E9" s="175">
        <v>5095467</v>
      </c>
    </row>
    <row r="10" spans="1:5" ht="14.25" customHeight="1">
      <c r="A10" s="414">
        <v>7</v>
      </c>
      <c r="B10" s="426"/>
      <c r="C10" s="174" t="s">
        <v>359</v>
      </c>
      <c r="D10" s="175">
        <v>2099.16</v>
      </c>
      <c r="E10" s="175">
        <v>2537965</v>
      </c>
    </row>
    <row r="11" spans="1:5" ht="14.25" customHeight="1">
      <c r="A11" s="427">
        <v>8</v>
      </c>
      <c r="B11" s="428"/>
      <c r="C11" s="429" t="s">
        <v>360</v>
      </c>
      <c r="D11" s="430">
        <v>9364</v>
      </c>
      <c r="E11" s="430">
        <v>11527153</v>
      </c>
    </row>
    <row r="12" spans="1:24" s="181" customFormat="1" ht="14.25" customHeight="1">
      <c r="A12" s="180" t="s">
        <v>107</v>
      </c>
      <c r="B12" s="180" t="s">
        <v>361</v>
      </c>
      <c r="D12" s="281">
        <f>SUM(D13:D23)</f>
        <v>76066.43999999999</v>
      </c>
      <c r="E12" s="281">
        <f>SUM(E13:E23)</f>
        <v>46909049.51923674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</row>
    <row r="13" spans="1:24" ht="14.25" customHeight="1">
      <c r="A13" s="417">
        <v>9</v>
      </c>
      <c r="B13" s="423"/>
      <c r="C13" s="424" t="s">
        <v>362</v>
      </c>
      <c r="D13" s="425">
        <v>4577.53</v>
      </c>
      <c r="E13" s="425">
        <v>1964016.3801537456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</row>
    <row r="14" spans="1:24" ht="14.25" customHeight="1">
      <c r="A14" s="417">
        <v>10</v>
      </c>
      <c r="B14" s="426"/>
      <c r="C14" s="174" t="s">
        <v>363</v>
      </c>
      <c r="D14" s="175">
        <v>10617.82</v>
      </c>
      <c r="E14" s="175">
        <v>20033001.170496646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4" ht="14.25" customHeight="1">
      <c r="A15" s="417">
        <v>11</v>
      </c>
      <c r="B15" s="426"/>
      <c r="C15" s="174" t="s">
        <v>364</v>
      </c>
      <c r="D15" s="175">
        <v>9987.05</v>
      </c>
      <c r="E15" s="175">
        <v>3766448.3069170453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</row>
    <row r="16" spans="1:24" ht="14.25" customHeight="1">
      <c r="A16" s="417">
        <v>12</v>
      </c>
      <c r="B16" s="426"/>
      <c r="C16" s="174" t="s">
        <v>365</v>
      </c>
      <c r="D16" s="175">
        <v>1290.43</v>
      </c>
      <c r="E16" s="175">
        <v>419984.2784839999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</row>
    <row r="17" spans="1:24" ht="14.25" customHeight="1">
      <c r="A17" s="417">
        <v>13</v>
      </c>
      <c r="B17" s="426"/>
      <c r="C17" s="174" t="s">
        <v>366</v>
      </c>
      <c r="D17" s="175">
        <v>8506.69</v>
      </c>
      <c r="E17" s="175">
        <v>7560254.887243594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</row>
    <row r="18" spans="1:24" ht="14.25" customHeight="1">
      <c r="A18" s="417">
        <v>14</v>
      </c>
      <c r="B18" s="426"/>
      <c r="C18" s="174" t="s">
        <v>370</v>
      </c>
      <c r="D18" s="175">
        <v>20220.739999999998</v>
      </c>
      <c r="E18" s="175">
        <v>4308440.820684144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ht="14.25" customHeight="1">
      <c r="A19" s="417">
        <v>15</v>
      </c>
      <c r="B19" s="426"/>
      <c r="C19" s="174" t="s">
        <v>367</v>
      </c>
      <c r="D19" s="175">
        <v>4332.7</v>
      </c>
      <c r="E19" s="175">
        <v>1547510.7910104513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24" ht="14.25" customHeight="1">
      <c r="A20" s="417">
        <v>16</v>
      </c>
      <c r="B20" s="431"/>
      <c r="C20" s="177" t="s">
        <v>368</v>
      </c>
      <c r="D20" s="178">
        <v>10503.3</v>
      </c>
      <c r="E20" s="178">
        <v>3564889.04647369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</row>
    <row r="21" spans="1:24" ht="14.25" customHeight="1">
      <c r="A21" s="420">
        <v>17</v>
      </c>
      <c r="B21" s="426"/>
      <c r="C21" s="415" t="s">
        <v>371</v>
      </c>
      <c r="D21" s="175">
        <v>1943.25</v>
      </c>
      <c r="E21" s="175">
        <v>429123.05120454775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 ht="14.25" customHeight="1">
      <c r="A22" s="417">
        <v>18</v>
      </c>
      <c r="B22" s="426"/>
      <c r="C22" s="174" t="s">
        <v>372</v>
      </c>
      <c r="D22" s="175">
        <v>776.09</v>
      </c>
      <c r="E22" s="175">
        <v>2220735.261894497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</row>
    <row r="23" spans="1:24" ht="14.25" customHeight="1">
      <c r="A23" s="417">
        <v>19</v>
      </c>
      <c r="B23" s="426"/>
      <c r="C23" s="174" t="s">
        <v>369</v>
      </c>
      <c r="D23" s="175">
        <v>3310.84</v>
      </c>
      <c r="E23" s="175">
        <v>1094645.5246743863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</row>
    <row r="24" spans="1:24" s="181" customFormat="1" ht="14.25" customHeight="1">
      <c r="A24" s="180" t="s">
        <v>110</v>
      </c>
      <c r="B24" s="180" t="s">
        <v>373</v>
      </c>
      <c r="D24" s="281">
        <f>SUM(D25:D32)</f>
        <v>65842.79000000001</v>
      </c>
      <c r="E24" s="281">
        <f>SUM(E25:E32)</f>
        <v>28062556.5</v>
      </c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</row>
    <row r="25" spans="1:24" ht="14.25" customHeight="1">
      <c r="A25" s="417">
        <v>20</v>
      </c>
      <c r="B25" s="423"/>
      <c r="C25" s="424" t="s">
        <v>374</v>
      </c>
      <c r="D25" s="425">
        <v>13662.7</v>
      </c>
      <c r="E25" s="425">
        <v>20494050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 ht="14.25" customHeight="1">
      <c r="A26" s="417">
        <v>21</v>
      </c>
      <c r="B26" s="426"/>
      <c r="C26" s="174" t="s">
        <v>375</v>
      </c>
      <c r="D26" s="175">
        <v>9447.08</v>
      </c>
      <c r="E26" s="175">
        <v>1417062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customHeight="1">
      <c r="A27" s="417">
        <v>22</v>
      </c>
      <c r="B27" s="426"/>
      <c r="C27" s="174" t="s">
        <v>376</v>
      </c>
      <c r="D27" s="175">
        <v>25815.62</v>
      </c>
      <c r="E27" s="175">
        <v>3647910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</row>
    <row r="28" spans="1:24" ht="14.25" customHeight="1">
      <c r="A28" s="417">
        <v>23</v>
      </c>
      <c r="B28" s="426"/>
      <c r="C28" s="174" t="s">
        <v>377</v>
      </c>
      <c r="D28" s="175">
        <v>1089.8</v>
      </c>
      <c r="E28" s="175">
        <v>163470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</row>
    <row r="29" spans="1:24" ht="14.25" customHeight="1">
      <c r="A29" s="417">
        <v>24</v>
      </c>
      <c r="B29" s="426"/>
      <c r="C29" s="174" t="s">
        <v>378</v>
      </c>
      <c r="D29" s="175">
        <v>9884.3</v>
      </c>
      <c r="E29" s="175">
        <v>1482645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</row>
    <row r="30" spans="1:24" ht="14.25" customHeight="1">
      <c r="A30" s="417">
        <v>25</v>
      </c>
      <c r="B30" s="426"/>
      <c r="C30" s="174" t="s">
        <v>379</v>
      </c>
      <c r="D30" s="175">
        <v>5066.18</v>
      </c>
      <c r="E30" s="175">
        <v>759927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</row>
    <row r="31" spans="1:24" ht="14.25" customHeight="1">
      <c r="A31" s="417">
        <v>26</v>
      </c>
      <c r="B31" s="426"/>
      <c r="C31" s="174" t="s">
        <v>380</v>
      </c>
      <c r="D31" s="175">
        <v>55.65</v>
      </c>
      <c r="E31" s="175">
        <v>8347.5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 ht="14.25" customHeight="1">
      <c r="A32" s="417">
        <v>27</v>
      </c>
      <c r="B32" s="431"/>
      <c r="C32" s="177" t="s">
        <v>381</v>
      </c>
      <c r="D32" s="178">
        <v>821.46</v>
      </c>
      <c r="E32" s="178">
        <v>89145</v>
      </c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s="181" customFormat="1" ht="14.25" customHeight="1">
      <c r="A33" s="180" t="s">
        <v>113</v>
      </c>
      <c r="B33" s="180" t="s">
        <v>87</v>
      </c>
      <c r="D33" s="281">
        <f>SUM(D34:D38)</f>
        <v>55235.219999999994</v>
      </c>
      <c r="E33" s="281">
        <f>SUM(E34:E38)</f>
        <v>11047050</v>
      </c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</row>
    <row r="34" spans="1:24" ht="14.25" customHeight="1">
      <c r="A34" s="423">
        <v>28</v>
      </c>
      <c r="B34" s="424"/>
      <c r="C34" s="425" t="s">
        <v>394</v>
      </c>
      <c r="D34" s="425">
        <v>16780.84</v>
      </c>
      <c r="E34" s="451">
        <v>3356170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</row>
    <row r="35" spans="1:24" ht="14.25" customHeight="1">
      <c r="A35" s="426">
        <v>29</v>
      </c>
      <c r="B35" s="174"/>
      <c r="C35" s="175" t="s">
        <v>395</v>
      </c>
      <c r="D35" s="175">
        <v>12000</v>
      </c>
      <c r="E35" s="452">
        <v>2400000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</row>
    <row r="36" spans="1:24" ht="14.25" customHeight="1">
      <c r="A36" s="426">
        <v>30</v>
      </c>
      <c r="B36" s="174"/>
      <c r="C36" s="175" t="s">
        <v>396</v>
      </c>
      <c r="D36" s="175">
        <v>17458</v>
      </c>
      <c r="E36" s="452">
        <v>3491600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1:24" ht="14.25" customHeight="1">
      <c r="A37" s="426">
        <v>31</v>
      </c>
      <c r="B37" s="174"/>
      <c r="C37" s="175" t="s">
        <v>397</v>
      </c>
      <c r="D37" s="175">
        <v>3292.38</v>
      </c>
      <c r="E37" s="452">
        <v>658480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1:24" ht="14.25" customHeight="1">
      <c r="A38" s="426">
        <v>32</v>
      </c>
      <c r="B38" s="174"/>
      <c r="C38" s="175" t="s">
        <v>398</v>
      </c>
      <c r="D38" s="175">
        <v>5704</v>
      </c>
      <c r="E38" s="452">
        <v>1140800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1:24" s="181" customFormat="1" ht="14.25" customHeight="1">
      <c r="A39" s="180"/>
      <c r="B39" s="180" t="s">
        <v>90</v>
      </c>
      <c r="D39" s="421">
        <f>SUM(D40:D50)</f>
        <v>92506.50000000003</v>
      </c>
      <c r="E39" s="281">
        <f>SUM(E40:E50)</f>
        <v>13272225</v>
      </c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</row>
    <row r="40" spans="1:24" ht="14.25" customHeight="1">
      <c r="A40" s="423">
        <v>33</v>
      </c>
      <c r="B40" s="424"/>
      <c r="C40" s="425" t="s">
        <v>383</v>
      </c>
      <c r="D40" s="425">
        <v>15416.3</v>
      </c>
      <c r="E40" s="451">
        <v>2221561</v>
      </c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1:24" ht="14.25" customHeight="1">
      <c r="A41" s="426">
        <v>34</v>
      </c>
      <c r="B41" s="174"/>
      <c r="C41" s="175" t="s">
        <v>384</v>
      </c>
      <c r="D41" s="175">
        <v>1102.9</v>
      </c>
      <c r="E41" s="452">
        <v>157710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</row>
    <row r="42" spans="1:24" ht="14.25" customHeight="1">
      <c r="A42" s="426">
        <v>35</v>
      </c>
      <c r="B42" s="174"/>
      <c r="C42" s="175" t="s">
        <v>385</v>
      </c>
      <c r="D42" s="175">
        <v>13731.2</v>
      </c>
      <c r="E42" s="452">
        <v>1963505</v>
      </c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</row>
    <row r="43" spans="1:24" ht="14.25" customHeight="1">
      <c r="A43" s="426">
        <v>36</v>
      </c>
      <c r="B43" s="174"/>
      <c r="C43" s="175" t="s">
        <v>386</v>
      </c>
      <c r="D43" s="175">
        <v>7557.2</v>
      </c>
      <c r="E43" s="452">
        <v>1107731</v>
      </c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</row>
    <row r="44" spans="1:24" ht="14.25" customHeight="1">
      <c r="A44" s="426">
        <v>37</v>
      </c>
      <c r="B44" s="174"/>
      <c r="C44" s="175" t="s">
        <v>387</v>
      </c>
      <c r="D44" s="175">
        <v>12976.7</v>
      </c>
      <c r="E44" s="452">
        <v>1855615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</row>
    <row r="45" spans="1:24" ht="14.25" customHeight="1">
      <c r="A45" s="426">
        <v>38</v>
      </c>
      <c r="B45" s="174"/>
      <c r="C45" s="175" t="s">
        <v>388</v>
      </c>
      <c r="D45" s="175">
        <v>6102.4</v>
      </c>
      <c r="E45" s="452">
        <v>872618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</row>
    <row r="46" spans="1:24" ht="14.25" customHeight="1">
      <c r="A46" s="426">
        <v>39</v>
      </c>
      <c r="B46" s="174"/>
      <c r="C46" s="175" t="s">
        <v>389</v>
      </c>
      <c r="D46" s="175">
        <v>13973.5</v>
      </c>
      <c r="E46" s="452">
        <v>1998153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</row>
    <row r="47" spans="1:24" ht="14.25" customHeight="1">
      <c r="A47" s="426">
        <v>40</v>
      </c>
      <c r="B47" s="174"/>
      <c r="C47" s="175" t="s">
        <v>390</v>
      </c>
      <c r="D47" s="175">
        <v>8099.3</v>
      </c>
      <c r="E47" s="452">
        <v>1158167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</row>
    <row r="48" spans="1:24" ht="14.25" customHeight="1">
      <c r="A48" s="426">
        <v>41</v>
      </c>
      <c r="B48" s="174"/>
      <c r="C48" s="175" t="s">
        <v>391</v>
      </c>
      <c r="D48" s="175">
        <v>6838.6</v>
      </c>
      <c r="E48" s="452">
        <v>977892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</row>
    <row r="49" spans="1:24" ht="14.25" customHeight="1">
      <c r="A49" s="426">
        <v>42</v>
      </c>
      <c r="B49" s="174"/>
      <c r="C49" s="175" t="s">
        <v>392</v>
      </c>
      <c r="D49" s="175">
        <v>6619.8</v>
      </c>
      <c r="E49" s="452">
        <v>946604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</row>
    <row r="50" spans="1:24" ht="14.25" customHeight="1">
      <c r="A50" s="428">
        <v>43</v>
      </c>
      <c r="B50" s="429"/>
      <c r="C50" s="430" t="s">
        <v>393</v>
      </c>
      <c r="D50" s="430">
        <v>88.6</v>
      </c>
      <c r="E50" s="453">
        <v>12669</v>
      </c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</row>
    <row r="51" spans="1:24" s="413" customFormat="1" ht="18" customHeight="1">
      <c r="A51" s="432"/>
      <c r="B51" s="949" t="s">
        <v>212</v>
      </c>
      <c r="C51" s="950"/>
      <c r="D51" s="433">
        <f>D3+D12+D24+D33+D39</f>
        <v>372630.63</v>
      </c>
      <c r="E51" s="433">
        <f>E3+E12+E24+E33+E39</f>
        <v>195452165.01923674</v>
      </c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</row>
  </sheetData>
  <sheetProtection/>
  <mergeCells count="2">
    <mergeCell ref="B51:C51"/>
    <mergeCell ref="A1:E1"/>
  </mergeCells>
  <printOptions horizontalCentered="1"/>
  <pageMargins left="0.45" right="0.2" top="0.35" bottom="0.1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D16" sqref="D16"/>
    </sheetView>
  </sheetViews>
  <sheetFormatPr defaultColWidth="7.8515625" defaultRowHeight="15"/>
  <cols>
    <col min="1" max="1" width="5.421875" style="675" customWidth="1"/>
    <col min="2" max="2" width="16.7109375" style="675" customWidth="1"/>
    <col min="3" max="3" width="14.140625" style="675" customWidth="1"/>
    <col min="4" max="4" width="14.00390625" style="675" customWidth="1"/>
    <col min="5" max="5" width="12.7109375" style="675" customWidth="1"/>
    <col min="6" max="6" width="12.57421875" style="675" customWidth="1"/>
    <col min="7" max="7" width="14.421875" style="675" customWidth="1"/>
    <col min="8" max="8" width="37.57421875" style="675" customWidth="1"/>
    <col min="9" max="245" width="9.140625" style="675" customWidth="1"/>
    <col min="246" max="246" width="4.8515625" style="675" customWidth="1"/>
    <col min="247" max="247" width="11.7109375" style="675" customWidth="1"/>
    <col min="248" max="248" width="11.421875" style="675" customWidth="1"/>
    <col min="249" max="249" width="12.7109375" style="675" customWidth="1"/>
    <col min="250" max="250" width="9.57421875" style="675" customWidth="1"/>
    <col min="251" max="252" width="10.140625" style="675" customWidth="1"/>
    <col min="253" max="253" width="10.57421875" style="675" customWidth="1"/>
    <col min="254" max="254" width="7.7109375" style="675" customWidth="1"/>
    <col min="255" max="255" width="9.140625" style="675" customWidth="1"/>
    <col min="256" max="16384" width="7.8515625" style="675" customWidth="1"/>
  </cols>
  <sheetData>
    <row r="1" spans="1:8" ht="15.75" customHeight="1">
      <c r="A1" s="923" t="s">
        <v>547</v>
      </c>
      <c r="B1" s="923"/>
      <c r="C1" s="923"/>
      <c r="D1" s="923"/>
      <c r="E1" s="923"/>
      <c r="F1" s="923"/>
      <c r="G1" s="923"/>
      <c r="H1" s="923"/>
    </row>
    <row r="2" spans="3:8" s="676" customFormat="1" ht="21" customHeight="1">
      <c r="C2" s="952"/>
      <c r="D2" s="952"/>
      <c r="E2" s="952"/>
      <c r="H2" s="723" t="s">
        <v>551</v>
      </c>
    </row>
    <row r="3" spans="1:8" s="676" customFormat="1" ht="15.75">
      <c r="A3" s="677" t="s">
        <v>0</v>
      </c>
      <c r="B3" s="677" t="s">
        <v>184</v>
      </c>
      <c r="C3" s="678">
        <v>2011</v>
      </c>
      <c r="D3" s="678">
        <v>2012</v>
      </c>
      <c r="E3" s="678">
        <v>2013</v>
      </c>
      <c r="F3" s="704">
        <v>2014</v>
      </c>
      <c r="G3" s="704" t="s">
        <v>212</v>
      </c>
      <c r="H3" s="704" t="s">
        <v>545</v>
      </c>
    </row>
    <row r="4" spans="1:8" s="695" customFormat="1" ht="15.75">
      <c r="A4" s="694" t="s">
        <v>9</v>
      </c>
      <c r="B4" s="694" t="s">
        <v>10</v>
      </c>
      <c r="C4" s="703" t="s">
        <v>543</v>
      </c>
      <c r="D4" s="703" t="s">
        <v>100</v>
      </c>
      <c r="E4" s="703" t="s">
        <v>101</v>
      </c>
      <c r="F4" s="703">
        <v>4</v>
      </c>
      <c r="G4" s="703" t="s">
        <v>103</v>
      </c>
      <c r="H4" s="701">
        <v>6</v>
      </c>
    </row>
    <row r="5" spans="1:8" s="702" customFormat="1" ht="15.75">
      <c r="A5" s="701" t="s">
        <v>105</v>
      </c>
      <c r="B5" s="713" t="s">
        <v>61</v>
      </c>
      <c r="C5" s="699">
        <f>C6</f>
        <v>0</v>
      </c>
      <c r="D5" s="699">
        <f>D6</f>
        <v>25645</v>
      </c>
      <c r="E5" s="699">
        <f>E6</f>
        <v>464858</v>
      </c>
      <c r="F5" s="699">
        <f>F6</f>
        <v>38624</v>
      </c>
      <c r="G5" s="699">
        <f>G6</f>
        <v>529127</v>
      </c>
      <c r="H5" s="701"/>
    </row>
    <row r="6" spans="1:8" s="702" customFormat="1" ht="31.5">
      <c r="A6" s="701">
        <v>1</v>
      </c>
      <c r="B6" s="714" t="s">
        <v>70</v>
      </c>
      <c r="C6" s="682"/>
      <c r="D6" s="682">
        <v>25645</v>
      </c>
      <c r="E6" s="682">
        <v>464858</v>
      </c>
      <c r="F6" s="682">
        <v>38624</v>
      </c>
      <c r="G6" s="682">
        <f>C6+D6+E6+F6</f>
        <v>529127</v>
      </c>
      <c r="H6" s="714" t="s">
        <v>549</v>
      </c>
    </row>
    <row r="7" spans="1:8" s="702" customFormat="1" ht="15.75">
      <c r="A7" s="701" t="s">
        <v>107</v>
      </c>
      <c r="B7" s="713" t="s">
        <v>62</v>
      </c>
      <c r="C7" s="721">
        <f>C8</f>
        <v>0</v>
      </c>
      <c r="D7" s="721">
        <f>D8</f>
        <v>12131579</v>
      </c>
      <c r="E7" s="721">
        <f>E8</f>
        <v>0</v>
      </c>
      <c r="F7" s="721">
        <f>F8</f>
        <v>0</v>
      </c>
      <c r="G7" s="721">
        <f>G8</f>
        <v>12131579</v>
      </c>
      <c r="H7" s="713"/>
    </row>
    <row r="8" spans="1:8" s="702" customFormat="1" ht="63">
      <c r="A8" s="701">
        <v>2</v>
      </c>
      <c r="B8" s="719" t="s">
        <v>73</v>
      </c>
      <c r="C8" s="724">
        <v>0</v>
      </c>
      <c r="D8" s="724">
        <v>12131579</v>
      </c>
      <c r="E8" s="724">
        <v>0</v>
      </c>
      <c r="F8" s="724">
        <v>0</v>
      </c>
      <c r="G8" s="717">
        <f>C8+D8+E8+F8</f>
        <v>12131579</v>
      </c>
      <c r="H8" s="720" t="s">
        <v>548</v>
      </c>
    </row>
    <row r="9" spans="1:8" s="679" customFormat="1" ht="15.75">
      <c r="A9" s="390" t="s">
        <v>110</v>
      </c>
      <c r="B9" s="690" t="s">
        <v>63</v>
      </c>
      <c r="C9" s="700">
        <f>SUM(C10:C11)</f>
        <v>22642568</v>
      </c>
      <c r="D9" s="700">
        <f>SUM(D10:D11)</f>
        <v>1591773</v>
      </c>
      <c r="E9" s="700">
        <f>SUM(E10:E11)</f>
        <v>19191712</v>
      </c>
      <c r="F9" s="700">
        <f>SUM(F10:F11)</f>
        <v>32819713</v>
      </c>
      <c r="G9" s="700">
        <f>SUM(G10:G11)</f>
        <v>82759940</v>
      </c>
      <c r="H9" s="707"/>
    </row>
    <row r="10" spans="1:8" ht="15.75">
      <c r="A10" s="680">
        <v>3</v>
      </c>
      <c r="B10" s="681" t="s">
        <v>79</v>
      </c>
      <c r="C10" s="682">
        <v>22642568</v>
      </c>
      <c r="D10" s="682">
        <v>1591773</v>
      </c>
      <c r="E10" s="682">
        <v>19191712</v>
      </c>
      <c r="F10" s="682">
        <v>32819713</v>
      </c>
      <c r="G10" s="682">
        <f>C10+D10+E10+F10</f>
        <v>76245766</v>
      </c>
      <c r="H10" s="709" t="s">
        <v>544</v>
      </c>
    </row>
    <row r="11" spans="1:8" ht="15.75">
      <c r="A11" s="687">
        <v>4</v>
      </c>
      <c r="B11" s="688" t="s">
        <v>111</v>
      </c>
      <c r="C11" s="689"/>
      <c r="D11" s="689"/>
      <c r="E11" s="689"/>
      <c r="F11" s="689"/>
      <c r="G11" s="689">
        <v>6514174</v>
      </c>
      <c r="H11" s="709"/>
    </row>
    <row r="12" spans="1:8" s="679" customFormat="1" ht="15.75">
      <c r="A12" s="390" t="s">
        <v>113</v>
      </c>
      <c r="B12" s="690" t="s">
        <v>64</v>
      </c>
      <c r="C12" s="699">
        <f>SUM(C13:C16)</f>
        <v>33246488</v>
      </c>
      <c r="D12" s="699">
        <f>SUM(D13:D16)</f>
        <v>36026940</v>
      </c>
      <c r="E12" s="699">
        <f>SUM(E13:E16)</f>
        <v>17627027</v>
      </c>
      <c r="F12" s="699">
        <f>SUM(F13:F16)</f>
        <v>313153</v>
      </c>
      <c r="G12" s="699">
        <f>SUM(G13:G16)</f>
        <v>117092608</v>
      </c>
      <c r="H12" s="707"/>
    </row>
    <row r="13" spans="1:11" ht="78.75">
      <c r="A13" s="715">
        <v>5</v>
      </c>
      <c r="B13" s="716" t="s">
        <v>114</v>
      </c>
      <c r="C13" s="717">
        <v>27947000</v>
      </c>
      <c r="D13" s="717">
        <v>31067000</v>
      </c>
      <c r="E13" s="717">
        <v>17625000</v>
      </c>
      <c r="F13" s="717">
        <v>0</v>
      </c>
      <c r="G13" s="717">
        <f>C13+D13+E13+F13</f>
        <v>76639000</v>
      </c>
      <c r="H13" s="718" t="s">
        <v>550</v>
      </c>
      <c r="I13" s="708"/>
      <c r="J13" s="708"/>
      <c r="K13" s="708"/>
    </row>
    <row r="14" spans="1:8" ht="15.75">
      <c r="A14" s="683">
        <v>6</v>
      </c>
      <c r="B14" s="684" t="s">
        <v>115</v>
      </c>
      <c r="C14" s="685">
        <v>1930</v>
      </c>
      <c r="D14" s="685">
        <v>2059</v>
      </c>
      <c r="E14" s="685">
        <v>2027</v>
      </c>
      <c r="F14" s="685">
        <v>313153</v>
      </c>
      <c r="G14" s="685">
        <f>C14+D14+E14+F14</f>
        <v>319169</v>
      </c>
      <c r="H14" s="709"/>
    </row>
    <row r="15" spans="1:8" ht="15.75">
      <c r="A15" s="683">
        <v>7</v>
      </c>
      <c r="B15" s="684" t="s">
        <v>83</v>
      </c>
      <c r="C15" s="685">
        <v>5297558</v>
      </c>
      <c r="D15" s="685">
        <v>4957881</v>
      </c>
      <c r="E15" s="685">
        <v>0</v>
      </c>
      <c r="F15" s="685">
        <v>0</v>
      </c>
      <c r="G15" s="685">
        <f>C15+D15+E15+F15</f>
        <v>10255439</v>
      </c>
      <c r="H15" s="709" t="s">
        <v>546</v>
      </c>
    </row>
    <row r="16" spans="1:8" ht="15.75">
      <c r="A16" s="687">
        <v>8</v>
      </c>
      <c r="B16" s="688" t="s">
        <v>85</v>
      </c>
      <c r="C16" s="689"/>
      <c r="D16" s="689"/>
      <c r="E16" s="689"/>
      <c r="F16" s="689"/>
      <c r="G16" s="689">
        <v>29879000</v>
      </c>
      <c r="H16" s="709" t="s">
        <v>544</v>
      </c>
    </row>
    <row r="17" spans="1:8" s="679" customFormat="1" ht="15.75">
      <c r="A17" s="390" t="s">
        <v>117</v>
      </c>
      <c r="B17" s="690" t="s">
        <v>65</v>
      </c>
      <c r="C17" s="700">
        <f>C18</f>
        <v>49254643</v>
      </c>
      <c r="D17" s="693">
        <f>D18</f>
        <v>65963452</v>
      </c>
      <c r="E17" s="693">
        <f>E18</f>
        <v>0</v>
      </c>
      <c r="F17" s="693">
        <f>F18</f>
        <v>0</v>
      </c>
      <c r="G17" s="693">
        <f>G18</f>
        <v>115218095</v>
      </c>
      <c r="H17" s="707"/>
    </row>
    <row r="18" spans="1:8" ht="15.75">
      <c r="A18" s="705">
        <v>9</v>
      </c>
      <c r="B18" s="392" t="s">
        <v>87</v>
      </c>
      <c r="C18" s="706">
        <v>49254643</v>
      </c>
      <c r="D18" s="706">
        <v>65963452</v>
      </c>
      <c r="E18" s="706"/>
      <c r="F18" s="706"/>
      <c r="G18" s="706">
        <f>C18+D18+E18+F18</f>
        <v>115218095</v>
      </c>
      <c r="H18" s="709" t="s">
        <v>544</v>
      </c>
    </row>
    <row r="19" spans="1:8" s="676" customFormat="1" ht="15.75">
      <c r="A19" s="696" t="s">
        <v>118</v>
      </c>
      <c r="B19" s="697" t="s">
        <v>66</v>
      </c>
      <c r="C19" s="698">
        <f>C20</f>
        <v>12648476</v>
      </c>
      <c r="D19" s="698">
        <f>D20</f>
        <v>18187612</v>
      </c>
      <c r="E19" s="698">
        <f>E20</f>
        <v>6676819</v>
      </c>
      <c r="F19" s="698">
        <f>F20</f>
        <v>0</v>
      </c>
      <c r="G19" s="698">
        <f>G20</f>
        <v>37512907</v>
      </c>
      <c r="H19" s="722"/>
    </row>
    <row r="20" spans="1:8" ht="15.75">
      <c r="A20" s="710">
        <v>10</v>
      </c>
      <c r="B20" s="711" t="s">
        <v>92</v>
      </c>
      <c r="C20" s="712">
        <v>12648476</v>
      </c>
      <c r="D20" s="712">
        <v>18187612</v>
      </c>
      <c r="E20" s="712">
        <v>6676819</v>
      </c>
      <c r="F20" s="712">
        <v>0</v>
      </c>
      <c r="G20" s="712">
        <f>C20+D20+E20+F20</f>
        <v>37512907</v>
      </c>
      <c r="H20" s="709" t="s">
        <v>546</v>
      </c>
    </row>
    <row r="21" spans="1:8" s="679" customFormat="1" ht="15.75">
      <c r="A21" s="691"/>
      <c r="B21" s="692" t="s">
        <v>60</v>
      </c>
      <c r="C21" s="698">
        <f>C5+C7+C9+C12+C17+C19</f>
        <v>117792175</v>
      </c>
      <c r="D21" s="698">
        <f>D5+D7+D9+D12+D17+D19</f>
        <v>133927001</v>
      </c>
      <c r="E21" s="698">
        <f>E5+E7+E9+E12+E17+E19</f>
        <v>43960416</v>
      </c>
      <c r="F21" s="698">
        <f>F5+F7+F9+F12+F17+F19</f>
        <v>33171490</v>
      </c>
      <c r="G21" s="698">
        <f>G5+G7+G9+G12+G17+G19</f>
        <v>365244256</v>
      </c>
      <c r="H21" s="707"/>
    </row>
    <row r="22" spans="3:7" ht="15.75">
      <c r="C22" s="725">
        <f>C6+C8+C10+C11+C13+C14+C15+C16+C18+C20</f>
        <v>117792175</v>
      </c>
      <c r="D22" s="725">
        <f>D6+D8+D10+D11+D13+D14+D15+D16+D18+D20</f>
        <v>133927001</v>
      </c>
      <c r="E22" s="725">
        <f>E6+E8+E10+E11+E13+E14+E15+E16+E18+E20</f>
        <v>43960416</v>
      </c>
      <c r="F22" s="725">
        <f>F6+F8+F10+F11+F13+F14+F15+F16+F18+F20</f>
        <v>33171490</v>
      </c>
      <c r="G22" s="725">
        <f>G6+G8+G10+G11+G13+G14+G15+G16+G18+G20</f>
        <v>365244256</v>
      </c>
    </row>
    <row r="23" ht="15.75">
      <c r="G23" s="686"/>
    </row>
  </sheetData>
  <sheetProtection/>
  <mergeCells count="2">
    <mergeCell ref="C2:E2"/>
    <mergeCell ref="A1:H1"/>
  </mergeCells>
  <printOptions horizontalCentered="1"/>
  <pageMargins left="0.2" right="0.2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="115" zoomScaleNormal="115" zoomScalePageLayoutView="0" workbookViewId="0" topLeftCell="A1">
      <selection activeCell="J10" sqref="J10"/>
    </sheetView>
  </sheetViews>
  <sheetFormatPr defaultColWidth="9.8515625" defaultRowHeight="35.25" customHeight="1"/>
  <cols>
    <col min="1" max="1" width="3.7109375" style="198" customWidth="1"/>
    <col min="2" max="2" width="11.421875" style="198" customWidth="1"/>
    <col min="3" max="3" width="10.57421875" style="198" customWidth="1"/>
    <col min="4" max="4" width="10.00390625" style="198" customWidth="1"/>
    <col min="5" max="5" width="10.421875" style="198" customWidth="1"/>
    <col min="6" max="6" width="7.8515625" style="198" customWidth="1"/>
    <col min="7" max="7" width="4.57421875" style="198" customWidth="1"/>
    <col min="8" max="8" width="3.7109375" style="198" customWidth="1"/>
    <col min="9" max="9" width="10.140625" style="198" customWidth="1"/>
    <col min="10" max="10" width="9.140625" style="198" customWidth="1"/>
    <col min="11" max="11" width="7.8515625" style="198" customWidth="1"/>
    <col min="12" max="12" width="6.421875" style="198" customWidth="1"/>
    <col min="13" max="13" width="7.57421875" style="198" customWidth="1"/>
    <col min="14" max="14" width="10.140625" style="198" customWidth="1"/>
    <col min="15" max="15" width="7.57421875" style="198" customWidth="1"/>
    <col min="16" max="16" width="6.421875" style="198" customWidth="1"/>
    <col min="17" max="17" width="10.140625" style="198" customWidth="1"/>
    <col min="18" max="16384" width="9.8515625" style="198" customWidth="1"/>
  </cols>
  <sheetData>
    <row r="1" spans="15:17" ht="15" customHeight="1">
      <c r="O1" s="828" t="s">
        <v>416</v>
      </c>
      <c r="P1" s="828"/>
      <c r="Q1" s="828"/>
    </row>
    <row r="2" spans="1:17" s="233" customFormat="1" ht="15.75" customHeight="1">
      <c r="A2" s="832" t="s">
        <v>0</v>
      </c>
      <c r="B2" s="832" t="s">
        <v>131</v>
      </c>
      <c r="C2" s="820" t="s">
        <v>283</v>
      </c>
      <c r="D2" s="820"/>
      <c r="E2" s="820"/>
      <c r="F2" s="820"/>
      <c r="G2" s="820"/>
      <c r="H2" s="820"/>
      <c r="I2" s="820"/>
      <c r="J2" s="820"/>
      <c r="K2" s="820"/>
      <c r="L2" s="820"/>
      <c r="M2" s="820" t="s">
        <v>286</v>
      </c>
      <c r="N2" s="821" t="s">
        <v>285</v>
      </c>
      <c r="O2" s="820" t="s">
        <v>12</v>
      </c>
      <c r="P2" s="820" t="s">
        <v>282</v>
      </c>
      <c r="Q2" s="820" t="s">
        <v>279</v>
      </c>
    </row>
    <row r="3" spans="1:17" s="233" customFormat="1" ht="15.75" customHeight="1">
      <c r="A3" s="832"/>
      <c r="B3" s="832"/>
      <c r="C3" s="820" t="s">
        <v>11</v>
      </c>
      <c r="D3" s="820" t="s">
        <v>276</v>
      </c>
      <c r="E3" s="820"/>
      <c r="F3" s="820"/>
      <c r="G3" s="820"/>
      <c r="H3" s="820"/>
      <c r="I3" s="820" t="s">
        <v>52</v>
      </c>
      <c r="J3" s="820"/>
      <c r="K3" s="820"/>
      <c r="L3" s="820"/>
      <c r="M3" s="820"/>
      <c r="N3" s="822"/>
      <c r="O3" s="820"/>
      <c r="P3" s="820"/>
      <c r="Q3" s="820"/>
    </row>
    <row r="4" spans="1:17" s="233" customFormat="1" ht="34.5" customHeight="1">
      <c r="A4" s="832"/>
      <c r="B4" s="832"/>
      <c r="C4" s="820"/>
      <c r="D4" s="454" t="s">
        <v>274</v>
      </c>
      <c r="E4" s="454" t="s">
        <v>94</v>
      </c>
      <c r="F4" s="454" t="s">
        <v>3</v>
      </c>
      <c r="G4" s="454" t="s">
        <v>4</v>
      </c>
      <c r="H4" s="454" t="s">
        <v>275</v>
      </c>
      <c r="I4" s="454" t="s">
        <v>277</v>
      </c>
      <c r="J4" s="454" t="s">
        <v>94</v>
      </c>
      <c r="K4" s="454" t="s">
        <v>3</v>
      </c>
      <c r="L4" s="454" t="s">
        <v>4</v>
      </c>
      <c r="M4" s="820"/>
      <c r="N4" s="822"/>
      <c r="O4" s="820"/>
      <c r="P4" s="820"/>
      <c r="Q4" s="820"/>
    </row>
    <row r="5" spans="1:17" s="191" customFormat="1" ht="14.25" customHeight="1">
      <c r="A5" s="189" t="s">
        <v>9</v>
      </c>
      <c r="B5" s="189" t="s">
        <v>10</v>
      </c>
      <c r="C5" s="190" t="s">
        <v>291</v>
      </c>
      <c r="D5" s="190" t="s">
        <v>284</v>
      </c>
      <c r="E5" s="190" t="s">
        <v>101</v>
      </c>
      <c r="F5" s="190" t="s">
        <v>102</v>
      </c>
      <c r="G5" s="190" t="s">
        <v>103</v>
      </c>
      <c r="H5" s="190" t="s">
        <v>230</v>
      </c>
      <c r="I5" s="190" t="s">
        <v>289</v>
      </c>
      <c r="J5" s="190" t="s">
        <v>135</v>
      </c>
      <c r="K5" s="190" t="s">
        <v>231</v>
      </c>
      <c r="L5" s="190" t="s">
        <v>232</v>
      </c>
      <c r="M5" s="190" t="s">
        <v>280</v>
      </c>
      <c r="N5" s="190" t="s">
        <v>290</v>
      </c>
      <c r="O5" s="190" t="s">
        <v>281</v>
      </c>
      <c r="P5" s="190" t="s">
        <v>104</v>
      </c>
      <c r="Q5" s="190" t="s">
        <v>292</v>
      </c>
    </row>
    <row r="6" spans="1:17" s="219" customFormat="1" ht="12" customHeight="1">
      <c r="A6" s="455" t="s">
        <v>105</v>
      </c>
      <c r="B6" s="456" t="s">
        <v>61</v>
      </c>
      <c r="C6" s="268">
        <f>SUM(C7:C10)</f>
        <v>384985579</v>
      </c>
      <c r="D6" s="268">
        <f aca="true" t="shared" si="0" ref="D6:Q6">SUM(D7:D10)</f>
        <v>384500000</v>
      </c>
      <c r="E6" s="268">
        <f t="shared" si="0"/>
        <v>384500000</v>
      </c>
      <c r="F6" s="268">
        <f t="shared" si="0"/>
        <v>0</v>
      </c>
      <c r="G6" s="268">
        <f t="shared" si="0"/>
        <v>0</v>
      </c>
      <c r="H6" s="268">
        <f t="shared" si="0"/>
        <v>0</v>
      </c>
      <c r="I6" s="268">
        <f>SUM(I7:I10)</f>
        <v>485579</v>
      </c>
      <c r="J6" s="268">
        <f t="shared" si="0"/>
        <v>131000</v>
      </c>
      <c r="K6" s="268">
        <f t="shared" si="0"/>
        <v>354579</v>
      </c>
      <c r="L6" s="268">
        <f t="shared" si="0"/>
        <v>0</v>
      </c>
      <c r="M6" s="268">
        <f t="shared" si="0"/>
        <v>1179432</v>
      </c>
      <c r="N6" s="268">
        <f t="shared" si="0"/>
        <v>386165011</v>
      </c>
      <c r="O6" s="268">
        <f t="shared" si="0"/>
        <v>319000</v>
      </c>
      <c r="P6" s="268">
        <f t="shared" si="0"/>
        <v>0</v>
      </c>
      <c r="Q6" s="268">
        <f t="shared" si="0"/>
        <v>386484011</v>
      </c>
    </row>
    <row r="7" spans="1:17" ht="12" customHeight="1">
      <c r="A7" s="41">
        <v>1</v>
      </c>
      <c r="B7" s="221" t="s">
        <v>68</v>
      </c>
      <c r="C7" s="222">
        <f>D7+I7</f>
        <v>108854579</v>
      </c>
      <c r="D7" s="222">
        <f>E7+F7+G7+H7</f>
        <v>108500000</v>
      </c>
      <c r="E7" s="222">
        <v>108500000</v>
      </c>
      <c r="F7" s="222"/>
      <c r="G7" s="222"/>
      <c r="H7" s="222"/>
      <c r="I7" s="222">
        <f>J7+K7+L7</f>
        <v>354579</v>
      </c>
      <c r="J7" s="222"/>
      <c r="K7" s="222">
        <v>354579</v>
      </c>
      <c r="L7" s="222"/>
      <c r="M7" s="222"/>
      <c r="N7" s="458">
        <f>C7+M7</f>
        <v>108854579</v>
      </c>
      <c r="O7" s="222"/>
      <c r="P7" s="222"/>
      <c r="Q7" s="222">
        <f>N7+O7+P7</f>
        <v>108854579</v>
      </c>
    </row>
    <row r="8" spans="1:17" ht="12" customHeight="1">
      <c r="A8" s="43">
        <f>A7+1</f>
        <v>2</v>
      </c>
      <c r="B8" s="44" t="s">
        <v>106</v>
      </c>
      <c r="C8" s="200">
        <f aca="true" t="shared" si="1" ref="C8:C41">D8+I8</f>
        <v>165131000</v>
      </c>
      <c r="D8" s="200">
        <f aca="true" t="shared" si="2" ref="D8:D41">E8+F8+G8+H8</f>
        <v>165000000</v>
      </c>
      <c r="E8" s="200">
        <v>165000000</v>
      </c>
      <c r="F8" s="200"/>
      <c r="G8" s="200"/>
      <c r="H8" s="200"/>
      <c r="I8" s="200">
        <f aca="true" t="shared" si="3" ref="I8:I41">J8+K8+L8</f>
        <v>131000</v>
      </c>
      <c r="J8" s="200">
        <v>131000</v>
      </c>
      <c r="K8" s="200"/>
      <c r="L8" s="200"/>
      <c r="M8" s="200">
        <v>1087000</v>
      </c>
      <c r="N8" s="222">
        <f aca="true" t="shared" si="4" ref="N8:N41">C8+M8</f>
        <v>166218000</v>
      </c>
      <c r="O8" s="200">
        <v>319000</v>
      </c>
      <c r="P8" s="200"/>
      <c r="Q8" s="200">
        <f aca="true" t="shared" si="5" ref="Q8:Q41">N8+O8+P8</f>
        <v>166537000</v>
      </c>
    </row>
    <row r="9" spans="1:17" s="207" customFormat="1" ht="12" customHeight="1">
      <c r="A9" s="43">
        <f>A8+1</f>
        <v>3</v>
      </c>
      <c r="B9" s="44" t="s">
        <v>67</v>
      </c>
      <c r="C9" s="204">
        <f t="shared" si="1"/>
        <v>100000000</v>
      </c>
      <c r="D9" s="204">
        <f t="shared" si="2"/>
        <v>100000000</v>
      </c>
      <c r="E9" s="204">
        <v>100000000</v>
      </c>
      <c r="F9" s="204"/>
      <c r="G9" s="204"/>
      <c r="H9" s="262"/>
      <c r="I9" s="204">
        <f t="shared" si="3"/>
        <v>0</v>
      </c>
      <c r="J9" s="204"/>
      <c r="K9" s="204"/>
      <c r="L9" s="204"/>
      <c r="M9" s="204"/>
      <c r="N9" s="222">
        <f t="shared" si="4"/>
        <v>100000000</v>
      </c>
      <c r="O9" s="204"/>
      <c r="P9" s="204"/>
      <c r="Q9" s="204">
        <f t="shared" si="5"/>
        <v>100000000</v>
      </c>
    </row>
    <row r="10" spans="1:17" ht="12" customHeight="1">
      <c r="A10" s="76">
        <f>A9+1</f>
        <v>4</v>
      </c>
      <c r="B10" s="209" t="s">
        <v>70</v>
      </c>
      <c r="C10" s="460">
        <f t="shared" si="1"/>
        <v>11000000</v>
      </c>
      <c r="D10" s="210">
        <f t="shared" si="2"/>
        <v>11000000</v>
      </c>
      <c r="E10" s="210">
        <v>11000000</v>
      </c>
      <c r="F10" s="210"/>
      <c r="G10" s="210"/>
      <c r="H10" s="210"/>
      <c r="I10" s="210">
        <f t="shared" si="3"/>
        <v>0</v>
      </c>
      <c r="J10" s="210"/>
      <c r="K10" s="210"/>
      <c r="L10" s="210"/>
      <c r="M10" s="210">
        <v>92432</v>
      </c>
      <c r="N10" s="238">
        <f t="shared" si="4"/>
        <v>11092432</v>
      </c>
      <c r="O10" s="461"/>
      <c r="P10" s="461"/>
      <c r="Q10" s="210">
        <f t="shared" si="5"/>
        <v>11092432</v>
      </c>
    </row>
    <row r="11" spans="1:17" s="219" customFormat="1" ht="12" customHeight="1">
      <c r="A11" s="213" t="s">
        <v>107</v>
      </c>
      <c r="B11" s="214" t="s">
        <v>62</v>
      </c>
      <c r="C11" s="215">
        <f>SUM(C12:C18)</f>
        <v>42257195</v>
      </c>
      <c r="D11" s="215">
        <f aca="true" t="shared" si="6" ref="D11:P11">SUM(D12:D18)</f>
        <v>36000000</v>
      </c>
      <c r="E11" s="215">
        <f t="shared" si="6"/>
        <v>36000000</v>
      </c>
      <c r="F11" s="215">
        <f t="shared" si="6"/>
        <v>0</v>
      </c>
      <c r="G11" s="215">
        <f t="shared" si="6"/>
        <v>0</v>
      </c>
      <c r="H11" s="215">
        <f t="shared" si="6"/>
        <v>0</v>
      </c>
      <c r="I11" s="215">
        <f>SUM(I12:I18)</f>
        <v>6257195</v>
      </c>
      <c r="J11" s="215">
        <f t="shared" si="6"/>
        <v>5321503</v>
      </c>
      <c r="K11" s="215">
        <f t="shared" si="6"/>
        <v>643873</v>
      </c>
      <c r="L11" s="215">
        <f t="shared" si="6"/>
        <v>291819</v>
      </c>
      <c r="M11" s="215">
        <f t="shared" si="6"/>
        <v>1042598</v>
      </c>
      <c r="N11" s="215">
        <f t="shared" si="6"/>
        <v>43299793</v>
      </c>
      <c r="O11" s="215">
        <f t="shared" si="6"/>
        <v>0</v>
      </c>
      <c r="P11" s="215">
        <f t="shared" si="6"/>
        <v>122065</v>
      </c>
      <c r="Q11" s="215">
        <f>SUM(Q12:Q18)</f>
        <v>43421858</v>
      </c>
    </row>
    <row r="12" spans="1:17" ht="12" customHeight="1">
      <c r="A12" s="41">
        <v>5</v>
      </c>
      <c r="B12" s="221" t="s">
        <v>71</v>
      </c>
      <c r="C12" s="222">
        <f t="shared" si="1"/>
        <v>26225159</v>
      </c>
      <c r="D12" s="222">
        <f t="shared" si="2"/>
        <v>26000000</v>
      </c>
      <c r="E12" s="222">
        <v>26000000</v>
      </c>
      <c r="F12" s="222"/>
      <c r="G12" s="222"/>
      <c r="H12" s="222"/>
      <c r="I12" s="467">
        <f>J12+K12+L12</f>
        <v>225159</v>
      </c>
      <c r="J12" s="222"/>
      <c r="K12" s="222">
        <v>225159</v>
      </c>
      <c r="L12" s="222"/>
      <c r="M12" s="222">
        <v>500223</v>
      </c>
      <c r="N12" s="222">
        <f t="shared" si="4"/>
        <v>26725382</v>
      </c>
      <c r="O12" s="222"/>
      <c r="P12" s="222"/>
      <c r="Q12" s="222">
        <f t="shared" si="5"/>
        <v>26725382</v>
      </c>
    </row>
    <row r="13" spans="1:17" ht="12" customHeight="1">
      <c r="A13" s="43">
        <f aca="true" t="shared" si="7" ref="A13:A18">A12+1</f>
        <v>6</v>
      </c>
      <c r="B13" s="44" t="s">
        <v>72</v>
      </c>
      <c r="C13" s="200">
        <f t="shared" si="1"/>
        <v>10032036</v>
      </c>
      <c r="D13" s="200">
        <f t="shared" si="2"/>
        <v>4000000</v>
      </c>
      <c r="E13" s="200">
        <v>4000000</v>
      </c>
      <c r="F13" s="200"/>
      <c r="G13" s="200"/>
      <c r="H13" s="200"/>
      <c r="I13" s="200">
        <f t="shared" si="3"/>
        <v>6032036</v>
      </c>
      <c r="J13" s="200">
        <v>5321503</v>
      </c>
      <c r="K13" s="200">
        <v>418714</v>
      </c>
      <c r="L13" s="200">
        <v>291819</v>
      </c>
      <c r="M13" s="200">
        <v>535331</v>
      </c>
      <c r="N13" s="222">
        <f t="shared" si="4"/>
        <v>10567367</v>
      </c>
      <c r="O13" s="200"/>
      <c r="P13" s="200"/>
      <c r="Q13" s="200">
        <f t="shared" si="5"/>
        <v>10567367</v>
      </c>
    </row>
    <row r="14" spans="1:17" ht="12" customHeight="1">
      <c r="A14" s="43">
        <f t="shared" si="7"/>
        <v>7</v>
      </c>
      <c r="B14" s="44" t="s">
        <v>108</v>
      </c>
      <c r="C14" s="200">
        <f t="shared" si="1"/>
        <v>6000000</v>
      </c>
      <c r="D14" s="200">
        <f t="shared" si="2"/>
        <v>6000000</v>
      </c>
      <c r="E14" s="200">
        <v>6000000</v>
      </c>
      <c r="F14" s="200"/>
      <c r="G14" s="200"/>
      <c r="H14" s="259"/>
      <c r="I14" s="200">
        <f t="shared" si="3"/>
        <v>0</v>
      </c>
      <c r="J14" s="200"/>
      <c r="K14" s="200"/>
      <c r="L14" s="200"/>
      <c r="M14" s="200">
        <v>7044</v>
      </c>
      <c r="N14" s="222">
        <f t="shared" si="4"/>
        <v>6007044</v>
      </c>
      <c r="O14" s="200"/>
      <c r="P14" s="200">
        <v>122065</v>
      </c>
      <c r="Q14" s="200">
        <f t="shared" si="5"/>
        <v>6129109</v>
      </c>
    </row>
    <row r="15" spans="1:17" ht="12" customHeight="1">
      <c r="A15" s="208">
        <f t="shared" si="7"/>
        <v>8</v>
      </c>
      <c r="B15" s="44" t="s">
        <v>73</v>
      </c>
      <c r="C15" s="200">
        <f t="shared" si="1"/>
        <v>0</v>
      </c>
      <c r="D15" s="200">
        <f t="shared" si="2"/>
        <v>0</v>
      </c>
      <c r="E15" s="200"/>
      <c r="F15" s="200"/>
      <c r="G15" s="200"/>
      <c r="H15" s="200"/>
      <c r="I15" s="200">
        <f t="shared" si="3"/>
        <v>0</v>
      </c>
      <c r="J15" s="200"/>
      <c r="K15" s="200"/>
      <c r="L15" s="200"/>
      <c r="M15" s="200"/>
      <c r="N15" s="222">
        <f t="shared" si="4"/>
        <v>0</v>
      </c>
      <c r="O15" s="200"/>
      <c r="P15" s="200"/>
      <c r="Q15" s="200">
        <f t="shared" si="5"/>
        <v>0</v>
      </c>
    </row>
    <row r="16" spans="1:17" ht="12" customHeight="1">
      <c r="A16" s="43">
        <f t="shared" si="7"/>
        <v>9</v>
      </c>
      <c r="B16" s="44" t="s">
        <v>75</v>
      </c>
      <c r="C16" s="200">
        <f t="shared" si="1"/>
        <v>0</v>
      </c>
      <c r="D16" s="200">
        <f t="shared" si="2"/>
        <v>0</v>
      </c>
      <c r="E16" s="200"/>
      <c r="F16" s="200"/>
      <c r="G16" s="200"/>
      <c r="H16" s="200"/>
      <c r="I16" s="200">
        <f t="shared" si="3"/>
        <v>0</v>
      </c>
      <c r="J16" s="200"/>
      <c r="K16" s="200"/>
      <c r="L16" s="200"/>
      <c r="M16" s="200"/>
      <c r="N16" s="222">
        <f t="shared" si="4"/>
        <v>0</v>
      </c>
      <c r="O16" s="200"/>
      <c r="P16" s="200"/>
      <c r="Q16" s="200">
        <f t="shared" si="5"/>
        <v>0</v>
      </c>
    </row>
    <row r="17" spans="1:17" ht="12" customHeight="1">
      <c r="A17" s="43">
        <f t="shared" si="7"/>
        <v>10</v>
      </c>
      <c r="B17" s="44" t="s">
        <v>109</v>
      </c>
      <c r="C17" s="200">
        <f t="shared" si="1"/>
        <v>0</v>
      </c>
      <c r="D17" s="200">
        <f t="shared" si="2"/>
        <v>0</v>
      </c>
      <c r="E17" s="200"/>
      <c r="F17" s="200"/>
      <c r="G17" s="200"/>
      <c r="H17" s="200"/>
      <c r="I17" s="200">
        <f t="shared" si="3"/>
        <v>0</v>
      </c>
      <c r="J17" s="200"/>
      <c r="K17" s="200"/>
      <c r="L17" s="200"/>
      <c r="M17" s="200"/>
      <c r="N17" s="222">
        <f t="shared" si="4"/>
        <v>0</v>
      </c>
      <c r="O17" s="200"/>
      <c r="P17" s="200"/>
      <c r="Q17" s="200">
        <f t="shared" si="5"/>
        <v>0</v>
      </c>
    </row>
    <row r="18" spans="1:17" ht="12" customHeight="1">
      <c r="A18" s="43">
        <f t="shared" si="7"/>
        <v>11</v>
      </c>
      <c r="B18" s="209" t="s">
        <v>77</v>
      </c>
      <c r="C18" s="210">
        <f t="shared" si="1"/>
        <v>0</v>
      </c>
      <c r="D18" s="210">
        <f t="shared" si="2"/>
        <v>0</v>
      </c>
      <c r="E18" s="210"/>
      <c r="F18" s="210"/>
      <c r="G18" s="210"/>
      <c r="H18" s="210"/>
      <c r="I18" s="210">
        <f t="shared" si="3"/>
        <v>0</v>
      </c>
      <c r="J18" s="210"/>
      <c r="K18" s="210"/>
      <c r="L18" s="222"/>
      <c r="M18" s="210"/>
      <c r="N18" s="238">
        <f t="shared" si="4"/>
        <v>0</v>
      </c>
      <c r="O18" s="210"/>
      <c r="P18" s="210"/>
      <c r="Q18" s="210">
        <f t="shared" si="5"/>
        <v>0</v>
      </c>
    </row>
    <row r="19" spans="1:17" s="219" customFormat="1" ht="12" customHeight="1">
      <c r="A19" s="213" t="s">
        <v>110</v>
      </c>
      <c r="B19" s="214" t="s">
        <v>63</v>
      </c>
      <c r="C19" s="215">
        <f>SUM(C20:C24)</f>
        <v>52364397</v>
      </c>
      <c r="D19" s="215">
        <f aca="true" t="shared" si="8" ref="D19:Q19">SUM(D20:D24)</f>
        <v>3000000</v>
      </c>
      <c r="E19" s="215">
        <f t="shared" si="8"/>
        <v>3000000</v>
      </c>
      <c r="F19" s="215">
        <f t="shared" si="8"/>
        <v>0</v>
      </c>
      <c r="G19" s="215">
        <f t="shared" si="8"/>
        <v>0</v>
      </c>
      <c r="H19" s="215">
        <f t="shared" si="8"/>
        <v>0</v>
      </c>
      <c r="I19" s="215">
        <f>SUM(I20:I24)</f>
        <v>49364397</v>
      </c>
      <c r="J19" s="215">
        <f t="shared" si="8"/>
        <v>48573106</v>
      </c>
      <c r="K19" s="215">
        <f t="shared" si="8"/>
        <v>791291</v>
      </c>
      <c r="L19" s="215">
        <f t="shared" si="8"/>
        <v>0</v>
      </c>
      <c r="M19" s="215">
        <f t="shared" si="8"/>
        <v>552558</v>
      </c>
      <c r="N19" s="215">
        <f t="shared" si="8"/>
        <v>52916955</v>
      </c>
      <c r="O19" s="215">
        <f t="shared" si="8"/>
        <v>0</v>
      </c>
      <c r="P19" s="215">
        <f t="shared" si="8"/>
        <v>356800</v>
      </c>
      <c r="Q19" s="215">
        <f t="shared" si="8"/>
        <v>53273755</v>
      </c>
    </row>
    <row r="20" spans="1:17" ht="12" customHeight="1">
      <c r="A20" s="41">
        <v>12</v>
      </c>
      <c r="B20" s="221" t="s">
        <v>78</v>
      </c>
      <c r="C20" s="222">
        <f t="shared" si="1"/>
        <v>3000000</v>
      </c>
      <c r="D20" s="222">
        <f t="shared" si="2"/>
        <v>3000000</v>
      </c>
      <c r="E20" s="222">
        <v>3000000</v>
      </c>
      <c r="F20" s="222"/>
      <c r="G20" s="222"/>
      <c r="H20" s="222"/>
      <c r="I20" s="222">
        <f t="shared" si="3"/>
        <v>0</v>
      </c>
      <c r="J20" s="222"/>
      <c r="K20" s="222"/>
      <c r="L20" s="222"/>
      <c r="M20" s="222"/>
      <c r="N20" s="222">
        <f t="shared" si="4"/>
        <v>3000000</v>
      </c>
      <c r="O20" s="222"/>
      <c r="P20" s="222"/>
      <c r="Q20" s="222">
        <f t="shared" si="5"/>
        <v>3000000</v>
      </c>
    </row>
    <row r="21" spans="1:17" ht="12" customHeight="1">
      <c r="A21" s="43">
        <v>13</v>
      </c>
      <c r="B21" s="44" t="s">
        <v>79</v>
      </c>
      <c r="C21" s="200">
        <f t="shared" si="1"/>
        <v>42733595</v>
      </c>
      <c r="D21" s="200">
        <f t="shared" si="2"/>
        <v>0</v>
      </c>
      <c r="E21" s="200"/>
      <c r="F21" s="200"/>
      <c r="G21" s="200"/>
      <c r="H21" s="200"/>
      <c r="I21" s="200">
        <f t="shared" si="3"/>
        <v>42733595</v>
      </c>
      <c r="J21" s="200">
        <v>42733595</v>
      </c>
      <c r="K21" s="200"/>
      <c r="L21" s="200"/>
      <c r="M21" s="200">
        <v>547004</v>
      </c>
      <c r="N21" s="222">
        <f t="shared" si="4"/>
        <v>43280599</v>
      </c>
      <c r="O21" s="200"/>
      <c r="P21" s="200">
        <v>356800</v>
      </c>
      <c r="Q21" s="200">
        <f t="shared" si="5"/>
        <v>43637399</v>
      </c>
    </row>
    <row r="22" spans="1:17" ht="12" customHeight="1">
      <c r="A22" s="43">
        <f>A21+1</f>
        <v>14</v>
      </c>
      <c r="B22" s="44" t="s">
        <v>111</v>
      </c>
      <c r="C22" s="200">
        <f t="shared" si="1"/>
        <v>0</v>
      </c>
      <c r="D22" s="200">
        <f t="shared" si="2"/>
        <v>0</v>
      </c>
      <c r="E22" s="200"/>
      <c r="F22" s="200"/>
      <c r="G22" s="200"/>
      <c r="H22" s="200"/>
      <c r="I22" s="200">
        <f t="shared" si="3"/>
        <v>0</v>
      </c>
      <c r="J22" s="200">
        <v>0</v>
      </c>
      <c r="K22" s="200"/>
      <c r="L22" s="200"/>
      <c r="M22" s="200">
        <v>0</v>
      </c>
      <c r="N22" s="222">
        <f t="shared" si="4"/>
        <v>0</v>
      </c>
      <c r="O22" s="200"/>
      <c r="P22" s="200"/>
      <c r="Q22" s="200">
        <f t="shared" si="5"/>
        <v>0</v>
      </c>
    </row>
    <row r="23" spans="1:17" ht="12" customHeight="1">
      <c r="A23" s="208">
        <f>A22+1</f>
        <v>15</v>
      </c>
      <c r="B23" s="44" t="s">
        <v>112</v>
      </c>
      <c r="C23" s="200">
        <f t="shared" si="1"/>
        <v>5839511</v>
      </c>
      <c r="D23" s="200">
        <f t="shared" si="2"/>
        <v>0</v>
      </c>
      <c r="E23" s="200"/>
      <c r="F23" s="200"/>
      <c r="G23" s="200"/>
      <c r="H23" s="200"/>
      <c r="I23" s="465">
        <f t="shared" si="3"/>
        <v>5839511</v>
      </c>
      <c r="J23" s="465">
        <v>5839511</v>
      </c>
      <c r="K23" s="465"/>
      <c r="L23" s="200"/>
      <c r="M23" s="200">
        <v>2297</v>
      </c>
      <c r="N23" s="222">
        <f t="shared" si="4"/>
        <v>5841808</v>
      </c>
      <c r="O23" s="200"/>
      <c r="P23" s="200"/>
      <c r="Q23" s="200">
        <f t="shared" si="5"/>
        <v>5841808</v>
      </c>
    </row>
    <row r="24" spans="1:17" ht="12" customHeight="1">
      <c r="A24" s="43">
        <f>A23+1</f>
        <v>16</v>
      </c>
      <c r="B24" s="209" t="s">
        <v>81</v>
      </c>
      <c r="C24" s="210">
        <f t="shared" si="1"/>
        <v>791291</v>
      </c>
      <c r="D24" s="210">
        <f t="shared" si="2"/>
        <v>0</v>
      </c>
      <c r="E24" s="210"/>
      <c r="F24" s="210"/>
      <c r="G24" s="210"/>
      <c r="H24" s="210"/>
      <c r="I24" s="466">
        <f t="shared" si="3"/>
        <v>791291</v>
      </c>
      <c r="J24" s="466"/>
      <c r="K24" s="466">
        <v>791291</v>
      </c>
      <c r="L24" s="210"/>
      <c r="M24" s="210">
        <v>3257</v>
      </c>
      <c r="N24" s="238">
        <f t="shared" si="4"/>
        <v>794548</v>
      </c>
      <c r="O24" s="210"/>
      <c r="P24" s="210"/>
      <c r="Q24" s="210">
        <f t="shared" si="5"/>
        <v>794548</v>
      </c>
    </row>
    <row r="25" spans="1:17" s="219" customFormat="1" ht="12" customHeight="1">
      <c r="A25" s="213" t="s">
        <v>113</v>
      </c>
      <c r="B25" s="214" t="s">
        <v>64</v>
      </c>
      <c r="C25" s="215">
        <f>SUM(C26:C32)</f>
        <v>69014088</v>
      </c>
      <c r="D25" s="215">
        <f aca="true" t="shared" si="9" ref="D25:Q25">SUM(D26:D32)</f>
        <v>10000000</v>
      </c>
      <c r="E25" s="215">
        <f t="shared" si="9"/>
        <v>10000000</v>
      </c>
      <c r="F25" s="215">
        <f t="shared" si="9"/>
        <v>0</v>
      </c>
      <c r="G25" s="215">
        <f t="shared" si="9"/>
        <v>0</v>
      </c>
      <c r="H25" s="215">
        <f t="shared" si="9"/>
        <v>0</v>
      </c>
      <c r="I25" s="215">
        <f>SUM(I26:I32)</f>
        <v>59014088</v>
      </c>
      <c r="J25" s="215">
        <f t="shared" si="9"/>
        <v>59014088</v>
      </c>
      <c r="K25" s="215">
        <f t="shared" si="9"/>
        <v>0</v>
      </c>
      <c r="L25" s="215">
        <f t="shared" si="9"/>
        <v>0</v>
      </c>
      <c r="M25" s="215">
        <f t="shared" si="9"/>
        <v>126880</v>
      </c>
      <c r="N25" s="215">
        <f t="shared" si="9"/>
        <v>69140968</v>
      </c>
      <c r="O25" s="215">
        <f t="shared" si="9"/>
        <v>1000000</v>
      </c>
      <c r="P25" s="215">
        <f t="shared" si="9"/>
        <v>0</v>
      </c>
      <c r="Q25" s="215">
        <f t="shared" si="9"/>
        <v>70140968</v>
      </c>
    </row>
    <row r="26" spans="1:17" ht="12" customHeight="1">
      <c r="A26" s="41">
        <v>17</v>
      </c>
      <c r="B26" s="221" t="s">
        <v>114</v>
      </c>
      <c r="C26" s="222">
        <f t="shared" si="1"/>
        <v>59014088</v>
      </c>
      <c r="D26" s="222">
        <f t="shared" si="2"/>
        <v>0</v>
      </c>
      <c r="E26" s="222"/>
      <c r="F26" s="222"/>
      <c r="G26" s="222"/>
      <c r="H26" s="222"/>
      <c r="I26" s="467">
        <f t="shared" si="3"/>
        <v>59014088</v>
      </c>
      <c r="J26" s="222">
        <v>59014088</v>
      </c>
      <c r="K26" s="222"/>
      <c r="L26" s="222"/>
      <c r="M26" s="222"/>
      <c r="N26" s="222">
        <f t="shared" si="4"/>
        <v>59014088</v>
      </c>
      <c r="O26" s="467">
        <v>1000000</v>
      </c>
      <c r="P26" s="222"/>
      <c r="Q26" s="222">
        <f t="shared" si="5"/>
        <v>60014088</v>
      </c>
    </row>
    <row r="27" spans="1:17" ht="12" customHeight="1">
      <c r="A27" s="43">
        <f aca="true" t="shared" si="10" ref="A27:A32">A26+1</f>
        <v>18</v>
      </c>
      <c r="B27" s="44" t="s">
        <v>115</v>
      </c>
      <c r="C27" s="200">
        <f t="shared" si="1"/>
        <v>0</v>
      </c>
      <c r="D27" s="200">
        <f t="shared" si="2"/>
        <v>0</v>
      </c>
      <c r="E27" s="200"/>
      <c r="F27" s="200"/>
      <c r="G27" s="200"/>
      <c r="H27" s="200"/>
      <c r="I27" s="200">
        <f t="shared" si="3"/>
        <v>0</v>
      </c>
      <c r="J27" s="200"/>
      <c r="K27" s="200"/>
      <c r="L27" s="200"/>
      <c r="M27" s="200"/>
      <c r="N27" s="222">
        <f t="shared" si="4"/>
        <v>0</v>
      </c>
      <c r="O27" s="200"/>
      <c r="P27" s="200"/>
      <c r="Q27" s="200">
        <f t="shared" si="5"/>
        <v>0</v>
      </c>
    </row>
    <row r="28" spans="1:17" ht="12" customHeight="1">
      <c r="A28" s="43">
        <f t="shared" si="10"/>
        <v>19</v>
      </c>
      <c r="B28" s="44" t="s">
        <v>116</v>
      </c>
      <c r="C28" s="200">
        <f t="shared" si="1"/>
        <v>0</v>
      </c>
      <c r="D28" s="200">
        <f t="shared" si="2"/>
        <v>0</v>
      </c>
      <c r="E28" s="200"/>
      <c r="F28" s="200"/>
      <c r="G28" s="200"/>
      <c r="H28" s="200"/>
      <c r="I28" s="200">
        <f t="shared" si="3"/>
        <v>0</v>
      </c>
      <c r="J28" s="200"/>
      <c r="K28" s="200"/>
      <c r="L28" s="200"/>
      <c r="M28" s="200"/>
      <c r="N28" s="222">
        <f t="shared" si="4"/>
        <v>0</v>
      </c>
      <c r="O28" s="200"/>
      <c r="P28" s="200"/>
      <c r="Q28" s="200">
        <f t="shared" si="5"/>
        <v>0</v>
      </c>
    </row>
    <row r="29" spans="1:17" ht="12" customHeight="1">
      <c r="A29" s="208">
        <f t="shared" si="10"/>
        <v>20</v>
      </c>
      <c r="B29" s="44" t="s">
        <v>84</v>
      </c>
      <c r="C29" s="200">
        <f t="shared" si="1"/>
        <v>0</v>
      </c>
      <c r="D29" s="200">
        <f t="shared" si="2"/>
        <v>0</v>
      </c>
      <c r="E29" s="200"/>
      <c r="F29" s="200"/>
      <c r="G29" s="200"/>
      <c r="H29" s="200"/>
      <c r="I29" s="200">
        <f t="shared" si="3"/>
        <v>0</v>
      </c>
      <c r="J29" s="200"/>
      <c r="K29" s="200"/>
      <c r="L29" s="200"/>
      <c r="M29" s="200"/>
      <c r="N29" s="222">
        <f t="shared" si="4"/>
        <v>0</v>
      </c>
      <c r="O29" s="200"/>
      <c r="P29" s="200"/>
      <c r="Q29" s="200">
        <f t="shared" si="5"/>
        <v>0</v>
      </c>
    </row>
    <row r="30" spans="1:17" ht="12" customHeight="1">
      <c r="A30" s="43">
        <f t="shared" si="10"/>
        <v>21</v>
      </c>
      <c r="B30" s="44" t="s">
        <v>83</v>
      </c>
      <c r="C30" s="200">
        <f t="shared" si="1"/>
        <v>0</v>
      </c>
      <c r="D30" s="200">
        <f t="shared" si="2"/>
        <v>0</v>
      </c>
      <c r="E30" s="200"/>
      <c r="F30" s="200"/>
      <c r="G30" s="200"/>
      <c r="H30" s="200"/>
      <c r="I30" s="200">
        <f t="shared" si="3"/>
        <v>0</v>
      </c>
      <c r="J30" s="200"/>
      <c r="K30" s="200"/>
      <c r="L30" s="200"/>
      <c r="M30" s="200"/>
      <c r="N30" s="222">
        <f t="shared" si="4"/>
        <v>0</v>
      </c>
      <c r="O30" s="200"/>
      <c r="P30" s="200"/>
      <c r="Q30" s="200">
        <f t="shared" si="5"/>
        <v>0</v>
      </c>
    </row>
    <row r="31" spans="1:17" ht="12" customHeight="1">
      <c r="A31" s="41">
        <f t="shared" si="10"/>
        <v>22</v>
      </c>
      <c r="B31" s="44" t="s">
        <v>85</v>
      </c>
      <c r="C31" s="200">
        <f t="shared" si="1"/>
        <v>10000000</v>
      </c>
      <c r="D31" s="200">
        <f t="shared" si="2"/>
        <v>10000000</v>
      </c>
      <c r="E31" s="200">
        <v>10000000</v>
      </c>
      <c r="F31" s="200"/>
      <c r="G31" s="200"/>
      <c r="H31" s="200"/>
      <c r="I31" s="200">
        <f t="shared" si="3"/>
        <v>0</v>
      </c>
      <c r="J31" s="200"/>
      <c r="K31" s="200"/>
      <c r="L31" s="200"/>
      <c r="M31" s="200">
        <v>126880</v>
      </c>
      <c r="N31" s="222">
        <f t="shared" si="4"/>
        <v>10126880</v>
      </c>
      <c r="O31" s="200"/>
      <c r="P31" s="200"/>
      <c r="Q31" s="200">
        <f t="shared" si="5"/>
        <v>10126880</v>
      </c>
    </row>
    <row r="32" spans="1:17" ht="12" customHeight="1">
      <c r="A32" s="43">
        <f t="shared" si="10"/>
        <v>23</v>
      </c>
      <c r="B32" s="209" t="s">
        <v>86</v>
      </c>
      <c r="C32" s="210">
        <f t="shared" si="1"/>
        <v>0</v>
      </c>
      <c r="D32" s="210">
        <f t="shared" si="2"/>
        <v>0</v>
      </c>
      <c r="E32" s="210"/>
      <c r="F32" s="210"/>
      <c r="G32" s="210"/>
      <c r="H32" s="210"/>
      <c r="I32" s="210">
        <f t="shared" si="3"/>
        <v>0</v>
      </c>
      <c r="J32" s="210"/>
      <c r="K32" s="210"/>
      <c r="L32" s="210"/>
      <c r="M32" s="210"/>
      <c r="N32" s="238">
        <f t="shared" si="4"/>
        <v>0</v>
      </c>
      <c r="O32" s="210"/>
      <c r="P32" s="210"/>
      <c r="Q32" s="210">
        <f t="shared" si="5"/>
        <v>0</v>
      </c>
    </row>
    <row r="33" spans="1:17" s="219" customFormat="1" ht="12" customHeight="1">
      <c r="A33" s="213" t="s">
        <v>117</v>
      </c>
      <c r="B33" s="214" t="s">
        <v>65</v>
      </c>
      <c r="C33" s="215">
        <f>SUM(C34:C38)</f>
        <v>473395151</v>
      </c>
      <c r="D33" s="215">
        <f aca="true" t="shared" si="11" ref="D33:Q33">SUM(D34:D38)</f>
        <v>386000000</v>
      </c>
      <c r="E33" s="215">
        <f t="shared" si="11"/>
        <v>377438000</v>
      </c>
      <c r="F33" s="215">
        <f t="shared" si="11"/>
        <v>8562000</v>
      </c>
      <c r="G33" s="215">
        <f t="shared" si="11"/>
        <v>0</v>
      </c>
      <c r="H33" s="215">
        <f t="shared" si="11"/>
        <v>0</v>
      </c>
      <c r="I33" s="215">
        <f>SUM(I34:I38)</f>
        <v>87395151</v>
      </c>
      <c r="J33" s="215">
        <f t="shared" si="11"/>
        <v>86088147</v>
      </c>
      <c r="K33" s="215">
        <f t="shared" si="11"/>
        <v>726539</v>
      </c>
      <c r="L33" s="215">
        <f t="shared" si="11"/>
        <v>580465</v>
      </c>
      <c r="M33" s="215">
        <f t="shared" si="11"/>
        <v>3694984</v>
      </c>
      <c r="N33" s="215">
        <f t="shared" si="11"/>
        <v>477090135</v>
      </c>
      <c r="O33" s="215">
        <f t="shared" si="11"/>
        <v>6000000</v>
      </c>
      <c r="P33" s="215">
        <f t="shared" si="11"/>
        <v>313000</v>
      </c>
      <c r="Q33" s="215">
        <f t="shared" si="11"/>
        <v>483403135</v>
      </c>
    </row>
    <row r="34" spans="1:17" ht="12" customHeight="1">
      <c r="A34" s="41">
        <v>24</v>
      </c>
      <c r="B34" s="221" t="s">
        <v>87</v>
      </c>
      <c r="C34" s="222">
        <f t="shared" si="1"/>
        <v>154333816</v>
      </c>
      <c r="D34" s="222">
        <f t="shared" si="2"/>
        <v>141000000</v>
      </c>
      <c r="E34" s="222">
        <v>141000000</v>
      </c>
      <c r="F34" s="222"/>
      <c r="G34" s="222"/>
      <c r="H34" s="222"/>
      <c r="I34" s="222">
        <f t="shared" si="3"/>
        <v>13333816</v>
      </c>
      <c r="J34" s="222">
        <v>13333816</v>
      </c>
      <c r="K34" s="222"/>
      <c r="L34" s="222"/>
      <c r="M34" s="222">
        <v>2800300</v>
      </c>
      <c r="N34" s="222">
        <f t="shared" si="4"/>
        <v>157134116</v>
      </c>
      <c r="O34" s="222">
        <v>5000000</v>
      </c>
      <c r="P34" s="222"/>
      <c r="Q34" s="222">
        <f t="shared" si="5"/>
        <v>162134116</v>
      </c>
    </row>
    <row r="35" spans="1:17" ht="12" customHeight="1">
      <c r="A35" s="43">
        <f>A34+1</f>
        <v>25</v>
      </c>
      <c r="B35" s="44" t="s">
        <v>88</v>
      </c>
      <c r="C35" s="200">
        <f t="shared" si="1"/>
        <v>41235880</v>
      </c>
      <c r="D35" s="200">
        <f t="shared" si="2"/>
        <v>41000000</v>
      </c>
      <c r="E35" s="200">
        <v>41000000</v>
      </c>
      <c r="F35" s="200"/>
      <c r="G35" s="200"/>
      <c r="H35" s="200"/>
      <c r="I35" s="200">
        <f t="shared" si="3"/>
        <v>235880</v>
      </c>
      <c r="J35" s="200">
        <v>235880</v>
      </c>
      <c r="K35" s="200"/>
      <c r="L35" s="200"/>
      <c r="M35" s="200">
        <v>256810</v>
      </c>
      <c r="N35" s="222">
        <f t="shared" si="4"/>
        <v>41492690</v>
      </c>
      <c r="O35" s="465">
        <v>1000000</v>
      </c>
      <c r="P35" s="200"/>
      <c r="Q35" s="200">
        <f t="shared" si="5"/>
        <v>42492690</v>
      </c>
    </row>
    <row r="36" spans="1:17" ht="12" customHeight="1">
      <c r="A36" s="43">
        <f>A35+1</f>
        <v>26</v>
      </c>
      <c r="B36" s="44" t="s">
        <v>89</v>
      </c>
      <c r="C36" s="200">
        <f t="shared" si="1"/>
        <v>56895809</v>
      </c>
      <c r="D36" s="200">
        <f t="shared" si="2"/>
        <v>44000000</v>
      </c>
      <c r="E36" s="200">
        <v>41138000</v>
      </c>
      <c r="F36" s="200">
        <v>2862000</v>
      </c>
      <c r="G36" s="200"/>
      <c r="H36" s="200"/>
      <c r="I36" s="200">
        <f t="shared" si="3"/>
        <v>12895809</v>
      </c>
      <c r="J36" s="200">
        <v>12875689</v>
      </c>
      <c r="K36" s="200">
        <v>20120</v>
      </c>
      <c r="L36" s="200"/>
      <c r="M36" s="200">
        <v>637874</v>
      </c>
      <c r="N36" s="222">
        <f t="shared" si="4"/>
        <v>57533683</v>
      </c>
      <c r="O36" s="200"/>
      <c r="P36" s="200"/>
      <c r="Q36" s="200">
        <f t="shared" si="5"/>
        <v>57533683</v>
      </c>
    </row>
    <row r="37" spans="1:17" ht="12" customHeight="1">
      <c r="A37" s="208">
        <f>A36+1</f>
        <v>27</v>
      </c>
      <c r="B37" s="44" t="s">
        <v>90</v>
      </c>
      <c r="C37" s="200">
        <f t="shared" si="1"/>
        <v>69610605</v>
      </c>
      <c r="D37" s="200">
        <f t="shared" si="2"/>
        <v>50000000</v>
      </c>
      <c r="E37" s="200">
        <v>50000000</v>
      </c>
      <c r="F37" s="200"/>
      <c r="G37" s="200"/>
      <c r="H37" s="200"/>
      <c r="I37" s="200">
        <f t="shared" si="3"/>
        <v>19610605</v>
      </c>
      <c r="J37" s="200">
        <v>19610605</v>
      </c>
      <c r="K37" s="200"/>
      <c r="L37" s="200"/>
      <c r="M37" s="200"/>
      <c r="N37" s="222">
        <f t="shared" si="4"/>
        <v>69610605</v>
      </c>
      <c r="O37" s="200"/>
      <c r="P37" s="200"/>
      <c r="Q37" s="200">
        <f t="shared" si="5"/>
        <v>69610605</v>
      </c>
    </row>
    <row r="38" spans="1:17" ht="12" customHeight="1">
      <c r="A38" s="43">
        <f>A37+1</f>
        <v>28</v>
      </c>
      <c r="B38" s="209" t="s">
        <v>91</v>
      </c>
      <c r="C38" s="210">
        <f t="shared" si="1"/>
        <v>151319041</v>
      </c>
      <c r="D38" s="210">
        <f t="shared" si="2"/>
        <v>110000000</v>
      </c>
      <c r="E38" s="210">
        <v>104300000</v>
      </c>
      <c r="F38" s="210">
        <v>5700000</v>
      </c>
      <c r="G38" s="210"/>
      <c r="H38" s="210"/>
      <c r="I38" s="466">
        <f t="shared" si="3"/>
        <v>41319041</v>
      </c>
      <c r="J38" s="466">
        <v>40032157</v>
      </c>
      <c r="K38" s="466">
        <v>706419</v>
      </c>
      <c r="L38" s="466">
        <v>580465</v>
      </c>
      <c r="M38" s="210"/>
      <c r="N38" s="238">
        <f t="shared" si="4"/>
        <v>151319041</v>
      </c>
      <c r="O38" s="210"/>
      <c r="P38" s="210">
        <v>313000</v>
      </c>
      <c r="Q38" s="210">
        <f t="shared" si="5"/>
        <v>151632041</v>
      </c>
    </row>
    <row r="39" spans="1:17" s="219" customFormat="1" ht="12" customHeight="1">
      <c r="A39" s="213" t="s">
        <v>118</v>
      </c>
      <c r="B39" s="214" t="s">
        <v>66</v>
      </c>
      <c r="C39" s="215">
        <f aca="true" t="shared" si="12" ref="C39:Q39">SUM(C40:C41)</f>
        <v>3000000</v>
      </c>
      <c r="D39" s="215">
        <f t="shared" si="12"/>
        <v>3000000</v>
      </c>
      <c r="E39" s="215">
        <f t="shared" si="12"/>
        <v>2340000</v>
      </c>
      <c r="F39" s="215">
        <f t="shared" si="12"/>
        <v>660000</v>
      </c>
      <c r="G39" s="215">
        <f t="shared" si="12"/>
        <v>0</v>
      </c>
      <c r="H39" s="215">
        <f t="shared" si="12"/>
        <v>0</v>
      </c>
      <c r="I39" s="215">
        <f t="shared" si="12"/>
        <v>0</v>
      </c>
      <c r="J39" s="215">
        <f t="shared" si="12"/>
        <v>0</v>
      </c>
      <c r="K39" s="215">
        <f t="shared" si="12"/>
        <v>0</v>
      </c>
      <c r="L39" s="215">
        <f t="shared" si="12"/>
        <v>0</v>
      </c>
      <c r="M39" s="215">
        <f t="shared" si="12"/>
        <v>0</v>
      </c>
      <c r="N39" s="215">
        <f t="shared" si="12"/>
        <v>3000000</v>
      </c>
      <c r="O39" s="215">
        <f t="shared" si="12"/>
        <v>0</v>
      </c>
      <c r="P39" s="215">
        <f t="shared" si="12"/>
        <v>0</v>
      </c>
      <c r="Q39" s="215">
        <f t="shared" si="12"/>
        <v>3000000</v>
      </c>
    </row>
    <row r="40" spans="1:17" ht="12" customHeight="1">
      <c r="A40" s="41">
        <v>29</v>
      </c>
      <c r="B40" s="221" t="s">
        <v>92</v>
      </c>
      <c r="C40" s="222">
        <f t="shared" si="1"/>
        <v>3000000</v>
      </c>
      <c r="D40" s="222">
        <f t="shared" si="2"/>
        <v>3000000</v>
      </c>
      <c r="E40" s="222">
        <v>2340000</v>
      </c>
      <c r="F40" s="222">
        <v>660000</v>
      </c>
      <c r="G40" s="222"/>
      <c r="H40" s="222"/>
      <c r="I40" s="222">
        <f>J40+K40+L40</f>
        <v>0</v>
      </c>
      <c r="J40" s="222"/>
      <c r="K40" s="222"/>
      <c r="L40" s="222"/>
      <c r="M40" s="222"/>
      <c r="N40" s="222">
        <f t="shared" si="4"/>
        <v>3000000</v>
      </c>
      <c r="O40" s="222"/>
      <c r="P40" s="222"/>
      <c r="Q40" s="222">
        <f t="shared" si="5"/>
        <v>3000000</v>
      </c>
    </row>
    <row r="41" spans="1:17" ht="12" customHeight="1">
      <c r="A41" s="43">
        <v>30</v>
      </c>
      <c r="B41" s="44" t="s">
        <v>93</v>
      </c>
      <c r="C41" s="200">
        <f t="shared" si="1"/>
        <v>0</v>
      </c>
      <c r="D41" s="200">
        <f t="shared" si="2"/>
        <v>0</v>
      </c>
      <c r="E41" s="200"/>
      <c r="F41" s="200"/>
      <c r="G41" s="200"/>
      <c r="H41" s="200"/>
      <c r="I41" s="200">
        <f t="shared" si="3"/>
        <v>0</v>
      </c>
      <c r="J41" s="200"/>
      <c r="K41" s="200"/>
      <c r="L41" s="200"/>
      <c r="M41" s="200"/>
      <c r="N41" s="222">
        <f t="shared" si="4"/>
        <v>0</v>
      </c>
      <c r="O41" s="200"/>
      <c r="P41" s="200"/>
      <c r="Q41" s="200">
        <f t="shared" si="5"/>
        <v>0</v>
      </c>
    </row>
    <row r="42" spans="1:17" s="219" customFormat="1" ht="15.75" customHeight="1">
      <c r="A42" s="833" t="s">
        <v>400</v>
      </c>
      <c r="B42" s="834"/>
      <c r="C42" s="215">
        <f>C6+C11+C19+C25+C33+C39</f>
        <v>1025016410</v>
      </c>
      <c r="D42" s="215">
        <f>D6+D11+D19+D25+D33+D39</f>
        <v>822500000</v>
      </c>
      <c r="E42" s="215">
        <f aca="true" t="shared" si="13" ref="E42:Q42">E6+E11+E19+E25+E33+E39</f>
        <v>813278000</v>
      </c>
      <c r="F42" s="215">
        <f t="shared" si="13"/>
        <v>9222000</v>
      </c>
      <c r="G42" s="215">
        <f t="shared" si="13"/>
        <v>0</v>
      </c>
      <c r="H42" s="215">
        <f t="shared" si="13"/>
        <v>0</v>
      </c>
      <c r="I42" s="215">
        <f>I6+I11+I19+I25+I33+I39</f>
        <v>202516410</v>
      </c>
      <c r="J42" s="215">
        <f>J6+J11+J19+J25+J33+J39</f>
        <v>199127844</v>
      </c>
      <c r="K42" s="215">
        <f t="shared" si="13"/>
        <v>2516282</v>
      </c>
      <c r="L42" s="215">
        <f t="shared" si="13"/>
        <v>872284</v>
      </c>
      <c r="M42" s="215">
        <f t="shared" si="13"/>
        <v>6596452</v>
      </c>
      <c r="N42" s="215">
        <f t="shared" si="13"/>
        <v>1031612862</v>
      </c>
      <c r="O42" s="215">
        <f t="shared" si="13"/>
        <v>7319000</v>
      </c>
      <c r="P42" s="215">
        <f t="shared" si="13"/>
        <v>791865</v>
      </c>
      <c r="Q42" s="215">
        <f t="shared" si="13"/>
        <v>1039723727</v>
      </c>
    </row>
    <row r="43" spans="1:17" s="233" customFormat="1" ht="32.25" customHeight="1">
      <c r="A43" s="484" t="s">
        <v>196</v>
      </c>
      <c r="B43" s="462" t="s">
        <v>410</v>
      </c>
      <c r="C43" s="268">
        <f>981398752-D42</f>
        <v>158898752</v>
      </c>
      <c r="D43" s="219"/>
      <c r="E43" s="219"/>
      <c r="F43" s="268"/>
      <c r="G43" s="268"/>
      <c r="H43" s="268"/>
      <c r="I43" s="268"/>
      <c r="J43" s="268"/>
      <c r="K43" s="268"/>
      <c r="L43" s="219"/>
      <c r="M43" s="215"/>
      <c r="N43" s="215"/>
      <c r="O43" s="215"/>
      <c r="P43" s="215"/>
      <c r="Q43" s="215"/>
    </row>
    <row r="44" spans="1:17" ht="17.25" customHeight="1">
      <c r="A44" s="823" t="s">
        <v>464</v>
      </c>
      <c r="B44" s="824"/>
      <c r="C44" s="268">
        <f>C42+C43</f>
        <v>1183915162</v>
      </c>
      <c r="D44" s="825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7"/>
    </row>
    <row r="45" spans="3:17" ht="17.25" customHeight="1">
      <c r="C45" s="459"/>
      <c r="I45" s="251" t="s">
        <v>500</v>
      </c>
      <c r="M45" s="464"/>
      <c r="N45" s="464"/>
      <c r="O45" s="464"/>
      <c r="P45" s="464"/>
      <c r="Q45" s="464"/>
    </row>
    <row r="46" spans="9:17" ht="17.25" customHeight="1">
      <c r="I46" s="665">
        <v>191039</v>
      </c>
      <c r="M46" s="464"/>
      <c r="N46" s="464"/>
      <c r="O46" s="464"/>
      <c r="P46" s="464"/>
      <c r="Q46" s="464"/>
    </row>
    <row r="47" spans="3:5" ht="35.25" customHeight="1">
      <c r="C47" s="198" t="s">
        <v>466</v>
      </c>
      <c r="D47" s="473">
        <f>981398752706/1000</f>
        <v>981398752.706</v>
      </c>
      <c r="E47" s="459">
        <f>D47+I42</f>
        <v>1183915162.7059999</v>
      </c>
    </row>
  </sheetData>
  <sheetProtection/>
  <mergeCells count="15">
    <mergeCell ref="O1:Q1"/>
    <mergeCell ref="P2:P4"/>
    <mergeCell ref="Q2:Q4"/>
    <mergeCell ref="C3:C4"/>
    <mergeCell ref="D3:H3"/>
    <mergeCell ref="I3:L3"/>
    <mergeCell ref="O2:O4"/>
    <mergeCell ref="A2:A4"/>
    <mergeCell ref="B2:B4"/>
    <mergeCell ref="C2:L2"/>
    <mergeCell ref="M2:M4"/>
    <mergeCell ref="N2:N4"/>
    <mergeCell ref="A44:B44"/>
    <mergeCell ref="A42:B42"/>
    <mergeCell ref="D44:Q44"/>
  </mergeCells>
  <printOptions horizontalCentered="1"/>
  <pageMargins left="0.2" right="0.2" top="0.75" bottom="0.15" header="0.3" footer="0.3"/>
  <pageSetup horizontalDpi="600" verticalDpi="600" orientation="landscape" r:id="rId3"/>
  <headerFooter>
    <oddHeader>&amp;C&amp;"Time new roman,Bold"&amp;10
Phụ biểu 06. Kết quả huy động các nguồn thu của QBV&amp;PTR trên toàn quốc năm 2012</oddHead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3:Q21"/>
  <sheetViews>
    <sheetView zoomScalePageLayoutView="0" workbookViewId="0" topLeftCell="E1">
      <selection activeCell="L7" sqref="L7"/>
    </sheetView>
  </sheetViews>
  <sheetFormatPr defaultColWidth="9.140625" defaultRowHeight="15"/>
  <cols>
    <col min="1" max="1" width="4.57421875" style="726" customWidth="1"/>
    <col min="2" max="2" width="38.421875" style="726" customWidth="1"/>
    <col min="3" max="4" width="14.57421875" style="726" customWidth="1"/>
    <col min="5" max="6" width="15.57421875" style="726" customWidth="1"/>
    <col min="7" max="7" width="15.28125" style="726" customWidth="1"/>
    <col min="8" max="8" width="16.140625" style="726" customWidth="1"/>
    <col min="9" max="9" width="23.140625" style="726" customWidth="1"/>
    <col min="10" max="10" width="16.421875" style="726" customWidth="1"/>
    <col min="11" max="11" width="17.7109375" style="726" customWidth="1"/>
    <col min="12" max="12" width="12.421875" style="726" customWidth="1"/>
    <col min="13" max="13" width="10.28125" style="726" customWidth="1"/>
    <col min="14" max="14" width="10.140625" style="726" customWidth="1"/>
    <col min="15" max="15" width="13.00390625" style="726" customWidth="1"/>
    <col min="16" max="17" width="9.421875" style="726" bestFit="1" customWidth="1"/>
    <col min="18" max="16384" width="9.140625" style="726" customWidth="1"/>
  </cols>
  <sheetData>
    <row r="1" ht="15"/>
    <row r="2" ht="15"/>
    <row r="3" spans="1:12" ht="42.75">
      <c r="A3" s="704" t="s">
        <v>0</v>
      </c>
      <c r="B3" s="704" t="s">
        <v>419</v>
      </c>
      <c r="C3" s="704" t="s">
        <v>24</v>
      </c>
      <c r="D3" s="704">
        <v>2011</v>
      </c>
      <c r="E3" s="704">
        <v>2012</v>
      </c>
      <c r="F3" s="704">
        <v>2013</v>
      </c>
      <c r="G3" s="704">
        <v>2014</v>
      </c>
      <c r="H3" s="704" t="s">
        <v>464</v>
      </c>
      <c r="I3" s="738" t="s">
        <v>553</v>
      </c>
      <c r="J3" s="742" t="s">
        <v>557</v>
      </c>
      <c r="K3" s="742" t="s">
        <v>558</v>
      </c>
      <c r="L3" s="726" t="s">
        <v>559</v>
      </c>
    </row>
    <row r="4" spans="1:11" ht="15">
      <c r="A4" s="740" t="s">
        <v>9</v>
      </c>
      <c r="B4" s="740" t="s">
        <v>10</v>
      </c>
      <c r="C4" s="740" t="s">
        <v>552</v>
      </c>
      <c r="D4" s="740">
        <v>1</v>
      </c>
      <c r="E4" s="740">
        <v>2</v>
      </c>
      <c r="F4" s="740">
        <v>3</v>
      </c>
      <c r="G4" s="740">
        <v>4</v>
      </c>
      <c r="H4" s="740" t="s">
        <v>554</v>
      </c>
      <c r="I4" s="727">
        <v>6</v>
      </c>
      <c r="J4" s="743"/>
      <c r="K4" s="743"/>
    </row>
    <row r="5" spans="1:14" s="731" customFormat="1" ht="24" customHeight="1">
      <c r="A5" s="727">
        <v>1</v>
      </c>
      <c r="B5" s="727" t="s">
        <v>467</v>
      </c>
      <c r="C5" s="727" t="s">
        <v>468</v>
      </c>
      <c r="D5" s="728">
        <f>D6+D7</f>
        <v>282928.5</v>
      </c>
      <c r="E5" s="728">
        <f>E6+E7</f>
        <v>1183915.1</v>
      </c>
      <c r="F5" s="728">
        <f>F6+F7</f>
        <v>1096389.4</v>
      </c>
      <c r="G5" s="728">
        <f>G6+G7</f>
        <v>1335013.2999999998</v>
      </c>
      <c r="H5" s="729">
        <f aca="true" t="shared" si="0" ref="H5:H15">D5+E5+F5+G5</f>
        <v>3898246.3</v>
      </c>
      <c r="I5" s="729"/>
      <c r="J5" s="744"/>
      <c r="K5" s="744"/>
      <c r="L5" s="730"/>
      <c r="M5" s="731" t="s">
        <v>555</v>
      </c>
      <c r="N5" s="731" t="s">
        <v>556</v>
      </c>
    </row>
    <row r="6" spans="1:17" ht="24" customHeight="1">
      <c r="A6" s="732"/>
      <c r="B6" s="732" t="s">
        <v>469</v>
      </c>
      <c r="C6" s="732" t="s">
        <v>468</v>
      </c>
      <c r="D6" s="733">
        <f>D9+D12+D15</f>
        <v>231749.9</v>
      </c>
      <c r="E6" s="733">
        <f aca="true" t="shared" si="1" ref="D6:F7">E9+E12+E15</f>
        <v>981398.7000000001</v>
      </c>
      <c r="F6" s="733">
        <f t="shared" si="1"/>
        <v>850272.6</v>
      </c>
      <c r="G6" s="733">
        <f>G9+G12</f>
        <v>996385.7999999999</v>
      </c>
      <c r="H6" s="733">
        <f>D6+E6+F6+G6</f>
        <v>3059807</v>
      </c>
      <c r="I6" s="729" t="e">
        <f>(#REF!+#REF!)/1000+4640.4</f>
        <v>#REF!</v>
      </c>
      <c r="J6" s="744">
        <f>($E$6+$F$6+$G$6+11379.6)*0.5%</f>
        <v>14197.183500000001</v>
      </c>
      <c r="K6" s="744">
        <f>($E$6+$F$6+$G$6+11379.6)*99.5%</f>
        <v>2825239.5165000004</v>
      </c>
      <c r="L6" s="739" t="e">
        <f>K6-I6</f>
        <v>#REF!</v>
      </c>
      <c r="M6" s="739">
        <v>116342</v>
      </c>
      <c r="N6" s="739">
        <v>100000</v>
      </c>
      <c r="O6" s="734">
        <v>54600</v>
      </c>
      <c r="P6" s="734" t="e">
        <f>L6-M6-N6-O6</f>
        <v>#REF!</v>
      </c>
      <c r="Q6" s="734"/>
    </row>
    <row r="7" spans="1:12" ht="24" customHeight="1">
      <c r="A7" s="735"/>
      <c r="B7" s="735" t="s">
        <v>52</v>
      </c>
      <c r="C7" s="735" t="s">
        <v>468</v>
      </c>
      <c r="D7" s="736">
        <f t="shared" si="1"/>
        <v>51178.600000000006</v>
      </c>
      <c r="E7" s="736">
        <f t="shared" si="1"/>
        <v>202516.39999999997</v>
      </c>
      <c r="F7" s="736">
        <f t="shared" si="1"/>
        <v>246116.8</v>
      </c>
      <c r="G7" s="736">
        <f>G10+G13+G16</f>
        <v>338627.5</v>
      </c>
      <c r="H7" s="736">
        <f t="shared" si="0"/>
        <v>838439.2999999999</v>
      </c>
      <c r="I7" s="734"/>
      <c r="J7" s="734"/>
      <c r="K7" s="744">
        <f>($E$6+$F$6+$G$6+11379.6)</f>
        <v>2839436.7</v>
      </c>
      <c r="L7" s="734"/>
    </row>
    <row r="8" spans="1:12" s="731" customFormat="1" ht="24" customHeight="1">
      <c r="A8" s="727">
        <v>2</v>
      </c>
      <c r="B8" s="727" t="s">
        <v>470</v>
      </c>
      <c r="C8" s="727" t="s">
        <v>468</v>
      </c>
      <c r="D8" s="728">
        <f>D9+D10</f>
        <v>267756.7</v>
      </c>
      <c r="E8" s="728">
        <f>E9+E10</f>
        <v>1165348.7</v>
      </c>
      <c r="F8" s="728">
        <f>F9+F10</f>
        <v>1071544.2</v>
      </c>
      <c r="G8" s="728">
        <f>G9+G10</f>
        <v>1303895.5</v>
      </c>
      <c r="H8" s="729">
        <f t="shared" si="0"/>
        <v>3808545.0999999996</v>
      </c>
      <c r="I8" s="730"/>
      <c r="J8" s="730"/>
      <c r="K8" s="730">
        <f>+K7+220370.3</f>
        <v>3059807</v>
      </c>
      <c r="L8" s="730"/>
    </row>
    <row r="9" spans="1:8" ht="24" customHeight="1">
      <c r="A9" s="732"/>
      <c r="B9" s="732" t="s">
        <v>469</v>
      </c>
      <c r="C9" s="732" t="s">
        <v>468</v>
      </c>
      <c r="D9" s="733">
        <v>218191.9</v>
      </c>
      <c r="E9" s="733">
        <v>966220.9</v>
      </c>
      <c r="F9" s="733">
        <v>834465.9</v>
      </c>
      <c r="G9" s="733">
        <v>977105.6</v>
      </c>
      <c r="H9" s="733">
        <f t="shared" si="0"/>
        <v>2995984.3000000003</v>
      </c>
    </row>
    <row r="10" spans="1:11" ht="24" customHeight="1">
      <c r="A10" s="735"/>
      <c r="B10" s="735" t="s">
        <v>52</v>
      </c>
      <c r="C10" s="735" t="s">
        <v>468</v>
      </c>
      <c r="D10" s="736">
        <v>49564.8</v>
      </c>
      <c r="E10" s="736">
        <v>199127.8</v>
      </c>
      <c r="F10" s="736">
        <v>237078.3</v>
      </c>
      <c r="G10" s="736">
        <v>326789.9</v>
      </c>
      <c r="H10" s="736">
        <f t="shared" si="0"/>
        <v>812560.8</v>
      </c>
      <c r="I10" s="739">
        <f>2839436917831+220370305065</f>
        <v>3059807222896</v>
      </c>
      <c r="J10" s="739">
        <f>+I10/1000000</f>
        <v>3059807.222896</v>
      </c>
      <c r="K10" s="741"/>
    </row>
    <row r="11" spans="1:11" s="731" customFormat="1" ht="24" customHeight="1">
      <c r="A11" s="727">
        <v>3</v>
      </c>
      <c r="B11" s="727" t="s">
        <v>471</v>
      </c>
      <c r="C11" s="727" t="s">
        <v>468</v>
      </c>
      <c r="D11" s="728">
        <f>D12+D13</f>
        <v>14504.8</v>
      </c>
      <c r="E11" s="728">
        <f>E12+E13</f>
        <v>17694.1</v>
      </c>
      <c r="F11" s="728">
        <f>F12+F13</f>
        <v>23609.7</v>
      </c>
      <c r="G11" s="728">
        <f>G12+G13</f>
        <v>29594.5</v>
      </c>
      <c r="H11" s="729">
        <f t="shared" si="0"/>
        <v>85403.1</v>
      </c>
      <c r="I11" s="730"/>
      <c r="J11" s="730">
        <f>+J10-H6</f>
        <v>0.22289599990472198</v>
      </c>
      <c r="K11" s="730"/>
    </row>
    <row r="12" spans="1:11" ht="24" customHeight="1">
      <c r="A12" s="732"/>
      <c r="B12" s="732" t="s">
        <v>469</v>
      </c>
      <c r="C12" s="732" t="s">
        <v>468</v>
      </c>
      <c r="D12" s="733">
        <v>13558</v>
      </c>
      <c r="E12" s="733">
        <v>15177.8</v>
      </c>
      <c r="F12" s="733">
        <v>15806.7</v>
      </c>
      <c r="G12" s="733">
        <v>19280.2</v>
      </c>
      <c r="H12" s="733">
        <f t="shared" si="0"/>
        <v>63822.7</v>
      </c>
      <c r="I12" s="734"/>
      <c r="J12" s="734"/>
      <c r="K12" s="734"/>
    </row>
    <row r="13" spans="1:8" ht="24" customHeight="1">
      <c r="A13" s="735"/>
      <c r="B13" s="735" t="s">
        <v>52</v>
      </c>
      <c r="C13" s="735" t="s">
        <v>468</v>
      </c>
      <c r="D13" s="736">
        <v>946.8</v>
      </c>
      <c r="E13" s="736">
        <v>2516.3</v>
      </c>
      <c r="F13" s="736">
        <v>7803</v>
      </c>
      <c r="G13" s="736">
        <v>10314.3</v>
      </c>
      <c r="H13" s="736">
        <f t="shared" si="0"/>
        <v>21580.4</v>
      </c>
    </row>
    <row r="14" spans="1:11" s="731" customFormat="1" ht="24" customHeight="1">
      <c r="A14" s="727">
        <v>4</v>
      </c>
      <c r="B14" s="727" t="s">
        <v>472</v>
      </c>
      <c r="C14" s="727" t="s">
        <v>468</v>
      </c>
      <c r="D14" s="728">
        <f>D15+D16</f>
        <v>667</v>
      </c>
      <c r="E14" s="728">
        <f>E15+E16</f>
        <v>872.3</v>
      </c>
      <c r="F14" s="728">
        <f>F15+F16</f>
        <v>1235.5</v>
      </c>
      <c r="G14" s="728">
        <f>G15+G16</f>
        <v>1523.3</v>
      </c>
      <c r="H14" s="729">
        <f t="shared" si="0"/>
        <v>4298.1</v>
      </c>
      <c r="I14" s="730"/>
      <c r="J14" s="730"/>
      <c r="K14" s="730"/>
    </row>
    <row r="15" spans="1:8" ht="24" customHeight="1">
      <c r="A15" s="732"/>
      <c r="B15" s="732" t="s">
        <v>469</v>
      </c>
      <c r="C15" s="732" t="s">
        <v>468</v>
      </c>
      <c r="D15" s="733">
        <v>0</v>
      </c>
      <c r="E15" s="733">
        <v>0</v>
      </c>
      <c r="F15" s="733">
        <v>0</v>
      </c>
      <c r="G15" s="733"/>
      <c r="H15" s="733">
        <f t="shared" si="0"/>
        <v>0</v>
      </c>
    </row>
    <row r="16" spans="1:8" ht="24" customHeight="1">
      <c r="A16" s="735"/>
      <c r="B16" s="735" t="s">
        <v>52</v>
      </c>
      <c r="C16" s="735" t="s">
        <v>468</v>
      </c>
      <c r="D16" s="736">
        <v>667</v>
      </c>
      <c r="E16" s="736">
        <v>872.3</v>
      </c>
      <c r="F16" s="736">
        <v>1235.5</v>
      </c>
      <c r="G16" s="736">
        <v>1523.3</v>
      </c>
      <c r="H16" s="736">
        <f>D16+E16+F16+G16</f>
        <v>4298.1</v>
      </c>
    </row>
    <row r="17" spans="4:8" ht="15">
      <c r="D17" s="737"/>
      <c r="E17" s="737"/>
      <c r="F17" s="737"/>
      <c r="G17" s="737"/>
      <c r="H17" s="737"/>
    </row>
    <row r="21" ht="15">
      <c r="E21" s="734"/>
    </row>
  </sheetData>
  <sheetProtection/>
  <printOptions horizontalCentered="1"/>
  <pageMargins left="0.2" right="0.2" top="0.25" bottom="0.25" header="0.3" footer="0.3"/>
  <pageSetup horizontalDpi="600" verticalDpi="600" orientation="landscape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5.7109375" style="749" customWidth="1"/>
    <col min="2" max="2" width="22.421875" style="750" customWidth="1"/>
    <col min="6" max="6" width="11.00390625" style="0" customWidth="1"/>
    <col min="7" max="7" width="10.00390625" style="0" customWidth="1"/>
  </cols>
  <sheetData>
    <row r="1" spans="1:8" ht="15">
      <c r="A1" s="959" t="s">
        <v>589</v>
      </c>
      <c r="B1" s="960"/>
      <c r="C1" s="960"/>
      <c r="D1" s="960"/>
      <c r="E1" s="960"/>
      <c r="F1" s="960"/>
      <c r="G1" s="960"/>
      <c r="H1" s="960"/>
    </row>
    <row r="2" spans="1:8" ht="30" customHeight="1">
      <c r="A2" s="961" t="s">
        <v>644</v>
      </c>
      <c r="B2" s="960"/>
      <c r="C2" s="960"/>
      <c r="D2" s="960"/>
      <c r="E2" s="960"/>
      <c r="F2" s="960"/>
      <c r="G2" s="960"/>
      <c r="H2" s="960"/>
    </row>
    <row r="3" spans="1:8" ht="15">
      <c r="A3" s="767"/>
      <c r="B3" s="768"/>
      <c r="C3" s="726"/>
      <c r="D3" s="726"/>
      <c r="E3" s="726"/>
      <c r="F3" s="726"/>
      <c r="G3" s="726"/>
      <c r="H3" s="726"/>
    </row>
    <row r="4" spans="1:8" s="748" customFormat="1" ht="32.25" customHeight="1">
      <c r="A4" s="957" t="s">
        <v>352</v>
      </c>
      <c r="B4" s="931" t="s">
        <v>584</v>
      </c>
      <c r="C4" s="934" t="s">
        <v>575</v>
      </c>
      <c r="D4" s="934"/>
      <c r="E4" s="934"/>
      <c r="F4" s="931" t="s">
        <v>652</v>
      </c>
      <c r="G4" s="931" t="s">
        <v>637</v>
      </c>
      <c r="H4" s="931" t="s">
        <v>638</v>
      </c>
    </row>
    <row r="5" spans="1:8" s="748" customFormat="1" ht="55.5" customHeight="1">
      <c r="A5" s="958"/>
      <c r="B5" s="932"/>
      <c r="C5" s="765" t="s">
        <v>212</v>
      </c>
      <c r="D5" s="765" t="s">
        <v>585</v>
      </c>
      <c r="E5" s="765" t="s">
        <v>586</v>
      </c>
      <c r="F5" s="932"/>
      <c r="G5" s="932"/>
      <c r="H5" s="932"/>
    </row>
    <row r="6" spans="1:8" ht="17.25" customHeight="1">
      <c r="A6" s="769" t="s">
        <v>105</v>
      </c>
      <c r="B6" s="954" t="s">
        <v>578</v>
      </c>
      <c r="C6" s="955"/>
      <c r="D6" s="955"/>
      <c r="E6" s="955"/>
      <c r="F6" s="955"/>
      <c r="G6" s="955"/>
      <c r="H6" s="956"/>
    </row>
    <row r="7" spans="1:8" ht="15">
      <c r="A7" s="770">
        <v>1</v>
      </c>
      <c r="B7" s="771"/>
      <c r="C7" s="772"/>
      <c r="D7" s="772"/>
      <c r="E7" s="772"/>
      <c r="F7" s="772"/>
      <c r="G7" s="772"/>
      <c r="H7" s="772"/>
    </row>
    <row r="8" spans="1:8" ht="15">
      <c r="A8" s="770">
        <v>2</v>
      </c>
      <c r="B8" s="771"/>
      <c r="C8" s="772"/>
      <c r="D8" s="772"/>
      <c r="E8" s="772"/>
      <c r="F8" s="772"/>
      <c r="G8" s="772"/>
      <c r="H8" s="772"/>
    </row>
    <row r="9" spans="1:8" ht="15">
      <c r="A9" s="770">
        <v>3</v>
      </c>
      <c r="B9" s="771"/>
      <c r="C9" s="772"/>
      <c r="D9" s="772"/>
      <c r="E9" s="772"/>
      <c r="F9" s="772"/>
      <c r="G9" s="772"/>
      <c r="H9" s="772"/>
    </row>
    <row r="10" spans="1:8" ht="15">
      <c r="A10" s="770" t="s">
        <v>576</v>
      </c>
      <c r="B10" s="771"/>
      <c r="C10" s="772"/>
      <c r="D10" s="772"/>
      <c r="E10" s="772"/>
      <c r="F10" s="772"/>
      <c r="G10" s="772"/>
      <c r="H10" s="772"/>
    </row>
    <row r="11" spans="1:8" s="745" customFormat="1" ht="15">
      <c r="A11" s="769"/>
      <c r="B11" s="773" t="s">
        <v>212</v>
      </c>
      <c r="C11" s="727">
        <f aca="true" t="shared" si="0" ref="C11:H11">SUM(C7:C10)</f>
        <v>0</v>
      </c>
      <c r="D11" s="727">
        <f t="shared" si="0"/>
        <v>0</v>
      </c>
      <c r="E11" s="727">
        <f t="shared" si="0"/>
        <v>0</v>
      </c>
      <c r="F11" s="727">
        <f t="shared" si="0"/>
        <v>0</v>
      </c>
      <c r="G11" s="727">
        <f t="shared" si="0"/>
        <v>0</v>
      </c>
      <c r="H11" s="727">
        <f t="shared" si="0"/>
        <v>0</v>
      </c>
    </row>
    <row r="12" spans="1:8" s="745" customFormat="1" ht="15">
      <c r="A12" s="769" t="s">
        <v>107</v>
      </c>
      <c r="B12" s="954" t="s">
        <v>577</v>
      </c>
      <c r="C12" s="955"/>
      <c r="D12" s="955"/>
      <c r="E12" s="955"/>
      <c r="F12" s="955"/>
      <c r="G12" s="955"/>
      <c r="H12" s="956"/>
    </row>
    <row r="13" spans="1:8" ht="15">
      <c r="A13" s="770">
        <v>1</v>
      </c>
      <c r="B13" s="771"/>
      <c r="C13" s="772"/>
      <c r="D13" s="772"/>
      <c r="E13" s="772"/>
      <c r="F13" s="772"/>
      <c r="G13" s="772"/>
      <c r="H13" s="772"/>
    </row>
    <row r="14" spans="1:8" ht="15">
      <c r="A14" s="770">
        <v>2</v>
      </c>
      <c r="B14" s="771"/>
      <c r="C14" s="772"/>
      <c r="D14" s="772"/>
      <c r="E14" s="772"/>
      <c r="F14" s="772"/>
      <c r="G14" s="772"/>
      <c r="H14" s="772"/>
    </row>
    <row r="15" spans="1:8" ht="15">
      <c r="A15" s="770">
        <v>3</v>
      </c>
      <c r="B15" s="771"/>
      <c r="C15" s="772"/>
      <c r="D15" s="772"/>
      <c r="E15" s="772"/>
      <c r="F15" s="772"/>
      <c r="G15" s="772"/>
      <c r="H15" s="772"/>
    </row>
    <row r="16" spans="1:8" ht="15">
      <c r="A16" s="770" t="s">
        <v>576</v>
      </c>
      <c r="B16" s="771"/>
      <c r="C16" s="772"/>
      <c r="D16" s="772"/>
      <c r="E16" s="772"/>
      <c r="F16" s="772"/>
      <c r="G16" s="772"/>
      <c r="H16" s="772"/>
    </row>
    <row r="17" spans="1:8" s="745" customFormat="1" ht="15">
      <c r="A17" s="769"/>
      <c r="B17" s="773" t="s">
        <v>212</v>
      </c>
      <c r="C17" s="727">
        <f aca="true" t="shared" si="1" ref="C17:H17">SUM(C13:C16)</f>
        <v>0</v>
      </c>
      <c r="D17" s="727">
        <f t="shared" si="1"/>
        <v>0</v>
      </c>
      <c r="E17" s="727">
        <f t="shared" si="1"/>
        <v>0</v>
      </c>
      <c r="F17" s="727">
        <f t="shared" si="1"/>
        <v>0</v>
      </c>
      <c r="G17" s="727">
        <f t="shared" si="1"/>
        <v>0</v>
      </c>
      <c r="H17" s="727">
        <f t="shared" si="1"/>
        <v>0</v>
      </c>
    </row>
    <row r="18" spans="1:8" s="745" customFormat="1" ht="15">
      <c r="A18" s="769" t="s">
        <v>110</v>
      </c>
      <c r="B18" s="954" t="s">
        <v>580</v>
      </c>
      <c r="C18" s="955"/>
      <c r="D18" s="955"/>
      <c r="E18" s="955"/>
      <c r="F18" s="955"/>
      <c r="G18" s="955"/>
      <c r="H18" s="956"/>
    </row>
    <row r="19" spans="1:8" ht="15">
      <c r="A19" s="770">
        <v>1</v>
      </c>
      <c r="B19" s="771"/>
      <c r="C19" s="772"/>
      <c r="D19" s="772"/>
      <c r="E19" s="772"/>
      <c r="F19" s="772"/>
      <c r="G19" s="772"/>
      <c r="H19" s="772"/>
    </row>
    <row r="20" spans="1:8" ht="15">
      <c r="A20" s="770">
        <v>2</v>
      </c>
      <c r="B20" s="771"/>
      <c r="C20" s="772"/>
      <c r="D20" s="772"/>
      <c r="E20" s="772"/>
      <c r="F20" s="772"/>
      <c r="G20" s="772"/>
      <c r="H20" s="772"/>
    </row>
    <row r="21" spans="1:8" ht="15">
      <c r="A21" s="770">
        <v>3</v>
      </c>
      <c r="B21" s="771"/>
      <c r="C21" s="772"/>
      <c r="D21" s="772"/>
      <c r="E21" s="772"/>
      <c r="F21" s="772"/>
      <c r="G21" s="772"/>
      <c r="H21" s="772"/>
    </row>
    <row r="22" spans="1:8" ht="15">
      <c r="A22" s="770" t="s">
        <v>576</v>
      </c>
      <c r="B22" s="771"/>
      <c r="C22" s="772"/>
      <c r="D22" s="772"/>
      <c r="E22" s="772"/>
      <c r="F22" s="772"/>
      <c r="G22" s="772"/>
      <c r="H22" s="772"/>
    </row>
    <row r="23" spans="1:8" s="745" customFormat="1" ht="15">
      <c r="A23" s="769"/>
      <c r="B23" s="773" t="s">
        <v>212</v>
      </c>
      <c r="C23" s="727">
        <f aca="true" t="shared" si="2" ref="C23:H23">SUM(C19:C22)</f>
        <v>0</v>
      </c>
      <c r="D23" s="727">
        <f t="shared" si="2"/>
        <v>0</v>
      </c>
      <c r="E23" s="727">
        <f t="shared" si="2"/>
        <v>0</v>
      </c>
      <c r="F23" s="727">
        <f t="shared" si="2"/>
        <v>0</v>
      </c>
      <c r="G23" s="727">
        <f t="shared" si="2"/>
        <v>0</v>
      </c>
      <c r="H23" s="727">
        <f t="shared" si="2"/>
        <v>0</v>
      </c>
    </row>
    <row r="24" spans="1:8" s="585" customFormat="1" ht="15">
      <c r="A24" s="769" t="s">
        <v>113</v>
      </c>
      <c r="B24" s="954" t="s">
        <v>587</v>
      </c>
      <c r="C24" s="955"/>
      <c r="D24" s="955"/>
      <c r="E24" s="955"/>
      <c r="F24" s="955"/>
      <c r="G24" s="955"/>
      <c r="H24" s="956"/>
    </row>
    <row r="25" spans="1:8" ht="15">
      <c r="A25" s="770">
        <v>1</v>
      </c>
      <c r="B25" s="771"/>
      <c r="C25" s="772"/>
      <c r="D25" s="772"/>
      <c r="E25" s="772"/>
      <c r="F25" s="772"/>
      <c r="G25" s="772"/>
      <c r="H25" s="772"/>
    </row>
    <row r="26" spans="1:8" ht="15">
      <c r="A26" s="770">
        <v>2</v>
      </c>
      <c r="B26" s="771"/>
      <c r="C26" s="772"/>
      <c r="D26" s="772"/>
      <c r="E26" s="772"/>
      <c r="F26" s="772"/>
      <c r="G26" s="772"/>
      <c r="H26" s="772"/>
    </row>
    <row r="27" spans="1:8" ht="15">
      <c r="A27" s="770">
        <v>3</v>
      </c>
      <c r="B27" s="771"/>
      <c r="C27" s="772"/>
      <c r="D27" s="772"/>
      <c r="E27" s="772"/>
      <c r="F27" s="772"/>
      <c r="G27" s="772"/>
      <c r="H27" s="772"/>
    </row>
    <row r="28" spans="1:8" ht="15">
      <c r="A28" s="770" t="s">
        <v>576</v>
      </c>
      <c r="B28" s="771"/>
      <c r="C28" s="772"/>
      <c r="D28" s="772"/>
      <c r="E28" s="772"/>
      <c r="F28" s="772"/>
      <c r="G28" s="772"/>
      <c r="H28" s="772"/>
    </row>
    <row r="29" spans="1:8" s="585" customFormat="1" ht="15">
      <c r="A29" s="769"/>
      <c r="B29" s="773" t="s">
        <v>212</v>
      </c>
      <c r="C29" s="727">
        <f aca="true" t="shared" si="3" ref="C29:H29">SUM(C25:C28)</f>
        <v>0</v>
      </c>
      <c r="D29" s="727">
        <f t="shared" si="3"/>
        <v>0</v>
      </c>
      <c r="E29" s="727">
        <f t="shared" si="3"/>
        <v>0</v>
      </c>
      <c r="F29" s="727">
        <f t="shared" si="3"/>
        <v>0</v>
      </c>
      <c r="G29" s="727">
        <f t="shared" si="3"/>
        <v>0</v>
      </c>
      <c r="H29" s="727">
        <f t="shared" si="3"/>
        <v>0</v>
      </c>
    </row>
    <row r="30" spans="1:8" ht="15.75">
      <c r="A30" s="953" t="s">
        <v>639</v>
      </c>
      <c r="B30" s="953"/>
      <c r="C30" s="953"/>
      <c r="D30" s="953"/>
      <c r="E30" s="953"/>
      <c r="F30" s="953"/>
      <c r="G30" s="953"/>
      <c r="H30" s="953"/>
    </row>
  </sheetData>
  <sheetProtection/>
  <mergeCells count="13">
    <mergeCell ref="A1:H1"/>
    <mergeCell ref="A2:H2"/>
    <mergeCell ref="B6:H6"/>
    <mergeCell ref="B12:H12"/>
    <mergeCell ref="A30:H30"/>
    <mergeCell ref="B18:H18"/>
    <mergeCell ref="B24:H24"/>
    <mergeCell ref="C4:E4"/>
    <mergeCell ref="A4:A5"/>
    <mergeCell ref="B4:B5"/>
    <mergeCell ref="F4:F5"/>
    <mergeCell ref="G4:G5"/>
    <mergeCell ref="H4:H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7109375" style="749" customWidth="1"/>
    <col min="2" max="2" width="20.8515625" style="0" customWidth="1"/>
    <col min="3" max="3" width="11.140625" style="0" customWidth="1"/>
    <col min="4" max="4" width="10.8515625" style="0" customWidth="1"/>
    <col min="5" max="5" width="12.421875" style="0" customWidth="1"/>
    <col min="6" max="6" width="12.140625" style="0" customWidth="1"/>
    <col min="7" max="7" width="12.00390625" style="0" customWidth="1"/>
  </cols>
  <sheetData>
    <row r="1" spans="1:8" ht="15">
      <c r="A1" s="959" t="s">
        <v>590</v>
      </c>
      <c r="B1" s="960"/>
      <c r="C1" s="960"/>
      <c r="D1" s="960"/>
      <c r="E1" s="960"/>
      <c r="F1" s="960"/>
      <c r="G1" s="960"/>
      <c r="H1" s="102"/>
    </row>
    <row r="2" spans="1:8" s="746" customFormat="1" ht="30.75" customHeight="1">
      <c r="A2" s="961" t="s">
        <v>645</v>
      </c>
      <c r="B2" s="961"/>
      <c r="C2" s="961"/>
      <c r="D2" s="961"/>
      <c r="E2" s="961"/>
      <c r="F2" s="961"/>
      <c r="G2" s="961"/>
      <c r="H2" s="98"/>
    </row>
    <row r="3" spans="1:256" ht="15">
      <c r="A3" s="774"/>
      <c r="B3" s="731"/>
      <c r="C3" s="731"/>
      <c r="D3" s="731"/>
      <c r="E3" s="731"/>
      <c r="F3" s="731"/>
      <c r="G3" s="73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 t="s">
        <v>589</v>
      </c>
      <c r="AH3" s="102"/>
      <c r="AI3" s="102"/>
      <c r="AJ3" s="102"/>
      <c r="AK3" s="102"/>
      <c r="AL3" s="102"/>
      <c r="AM3" s="102"/>
      <c r="AN3" s="102"/>
      <c r="AO3" s="102" t="s">
        <v>589</v>
      </c>
      <c r="AP3" s="102"/>
      <c r="AQ3" s="102"/>
      <c r="AR3" s="102"/>
      <c r="AS3" s="102"/>
      <c r="AT3" s="102"/>
      <c r="AU3" s="102"/>
      <c r="AV3" s="102"/>
      <c r="AW3" s="102" t="s">
        <v>589</v>
      </c>
      <c r="AX3" s="102"/>
      <c r="AY3" s="102"/>
      <c r="AZ3" s="102"/>
      <c r="BA3" s="102"/>
      <c r="BB3" s="102"/>
      <c r="BC3" s="102"/>
      <c r="BD3" s="102"/>
      <c r="BE3" s="102" t="s">
        <v>589</v>
      </c>
      <c r="BF3" s="102"/>
      <c r="BG3" s="102"/>
      <c r="BH3" s="102"/>
      <c r="BI3" s="102"/>
      <c r="BJ3" s="102"/>
      <c r="BK3" s="102"/>
      <c r="BL3" s="102"/>
      <c r="BM3" s="102" t="s">
        <v>589</v>
      </c>
      <c r="BN3" s="102"/>
      <c r="BO3" s="102"/>
      <c r="BP3" s="102"/>
      <c r="BQ3" s="102"/>
      <c r="BR3" s="102"/>
      <c r="BS3" s="102"/>
      <c r="BT3" s="102"/>
      <c r="BU3" s="102" t="s">
        <v>589</v>
      </c>
      <c r="BV3" s="102"/>
      <c r="BW3" s="102"/>
      <c r="BX3" s="102"/>
      <c r="BY3" s="102"/>
      <c r="BZ3" s="102"/>
      <c r="CA3" s="102"/>
      <c r="CB3" s="102"/>
      <c r="CC3" s="102" t="s">
        <v>589</v>
      </c>
      <c r="CD3" s="102"/>
      <c r="CE3" s="102"/>
      <c r="CF3" s="102"/>
      <c r="CG3" s="102"/>
      <c r="CH3" s="102"/>
      <c r="CI3" s="102"/>
      <c r="CJ3" s="102"/>
      <c r="CK3" s="102" t="s">
        <v>589</v>
      </c>
      <c r="CL3" s="102"/>
      <c r="CM3" s="102"/>
      <c r="CN3" s="102"/>
      <c r="CO3" s="102"/>
      <c r="CP3" s="102"/>
      <c r="CQ3" s="102"/>
      <c r="CR3" s="102"/>
      <c r="CS3" s="102" t="s">
        <v>589</v>
      </c>
      <c r="CT3" s="102"/>
      <c r="CU3" s="102"/>
      <c r="CV3" s="102"/>
      <c r="CW3" s="102"/>
      <c r="CX3" s="102"/>
      <c r="CY3" s="102"/>
      <c r="CZ3" s="102"/>
      <c r="DA3" s="102" t="s">
        <v>589</v>
      </c>
      <c r="DB3" s="102"/>
      <c r="DC3" s="102"/>
      <c r="DD3" s="102"/>
      <c r="DE3" s="102"/>
      <c r="DF3" s="102"/>
      <c r="DG3" s="102"/>
      <c r="DH3" s="102"/>
      <c r="DI3" s="102" t="s">
        <v>589</v>
      </c>
      <c r="DJ3" s="102"/>
      <c r="DK3" s="102"/>
      <c r="DL3" s="102"/>
      <c r="DM3" s="102"/>
      <c r="DN3" s="102"/>
      <c r="DO3" s="102"/>
      <c r="DP3" s="102"/>
      <c r="DQ3" s="102" t="s">
        <v>589</v>
      </c>
      <c r="DR3" s="102"/>
      <c r="DS3" s="102"/>
      <c r="DT3" s="102"/>
      <c r="DU3" s="102"/>
      <c r="DV3" s="102"/>
      <c r="DW3" s="102"/>
      <c r="DX3" s="102"/>
      <c r="DY3" s="102" t="s">
        <v>589</v>
      </c>
      <c r="DZ3" s="102"/>
      <c r="EA3" s="102"/>
      <c r="EB3" s="102"/>
      <c r="EC3" s="102"/>
      <c r="ED3" s="102"/>
      <c r="EE3" s="102"/>
      <c r="EF3" s="102"/>
      <c r="EG3" s="102" t="s">
        <v>589</v>
      </c>
      <c r="EH3" s="102"/>
      <c r="EI3" s="102"/>
      <c r="EJ3" s="102"/>
      <c r="EK3" s="102"/>
      <c r="EL3" s="102"/>
      <c r="EM3" s="102"/>
      <c r="EN3" s="102"/>
      <c r="EO3" s="102" t="s">
        <v>589</v>
      </c>
      <c r="EP3" s="102"/>
      <c r="EQ3" s="102"/>
      <c r="ER3" s="102"/>
      <c r="ES3" s="102"/>
      <c r="ET3" s="102"/>
      <c r="EU3" s="102"/>
      <c r="EV3" s="102"/>
      <c r="EW3" s="102" t="s">
        <v>589</v>
      </c>
      <c r="EX3" s="102"/>
      <c r="EY3" s="102"/>
      <c r="EZ3" s="102"/>
      <c r="FA3" s="102"/>
      <c r="FB3" s="102"/>
      <c r="FC3" s="102"/>
      <c r="FD3" s="102"/>
      <c r="FE3" s="102" t="s">
        <v>589</v>
      </c>
      <c r="FF3" s="102"/>
      <c r="FG3" s="102"/>
      <c r="FH3" s="102"/>
      <c r="FI3" s="102"/>
      <c r="FJ3" s="102"/>
      <c r="FK3" s="102"/>
      <c r="FL3" s="102"/>
      <c r="FM3" s="102" t="s">
        <v>589</v>
      </c>
      <c r="FN3" s="102"/>
      <c r="FO3" s="102"/>
      <c r="FP3" s="102"/>
      <c r="FQ3" s="102"/>
      <c r="FR3" s="102"/>
      <c r="FS3" s="102"/>
      <c r="FT3" s="102"/>
      <c r="FU3" s="102" t="s">
        <v>589</v>
      </c>
      <c r="FV3" s="102"/>
      <c r="FW3" s="102"/>
      <c r="FX3" s="102"/>
      <c r="FY3" s="102"/>
      <c r="FZ3" s="102"/>
      <c r="GA3" s="102"/>
      <c r="GB3" s="102"/>
      <c r="GC3" s="102" t="s">
        <v>589</v>
      </c>
      <c r="GD3" s="102"/>
      <c r="GE3" s="102"/>
      <c r="GF3" s="102"/>
      <c r="GG3" s="102"/>
      <c r="GH3" s="102"/>
      <c r="GI3" s="102"/>
      <c r="GJ3" s="102"/>
      <c r="GK3" s="102" t="s">
        <v>589</v>
      </c>
      <c r="GL3" s="102"/>
      <c r="GM3" s="102"/>
      <c r="GN3" s="102"/>
      <c r="GO3" s="102"/>
      <c r="GP3" s="102"/>
      <c r="GQ3" s="102"/>
      <c r="GR3" s="102"/>
      <c r="GS3" s="102" t="s">
        <v>589</v>
      </c>
      <c r="GT3" s="102"/>
      <c r="GU3" s="102"/>
      <c r="GV3" s="102"/>
      <c r="GW3" s="102"/>
      <c r="GX3" s="102"/>
      <c r="GY3" s="102"/>
      <c r="GZ3" s="102"/>
      <c r="HA3" s="102" t="s">
        <v>589</v>
      </c>
      <c r="HB3" s="102"/>
      <c r="HC3" s="102"/>
      <c r="HD3" s="102"/>
      <c r="HE3" s="102"/>
      <c r="HF3" s="102"/>
      <c r="HG3" s="102"/>
      <c r="HH3" s="102"/>
      <c r="HI3" s="102" t="s">
        <v>589</v>
      </c>
      <c r="HJ3" s="102"/>
      <c r="HK3" s="102"/>
      <c r="HL3" s="102"/>
      <c r="HM3" s="102"/>
      <c r="HN3" s="102"/>
      <c r="HO3" s="102"/>
      <c r="HP3" s="102"/>
      <c r="HQ3" s="102" t="s">
        <v>589</v>
      </c>
      <c r="HR3" s="102"/>
      <c r="HS3" s="102"/>
      <c r="HT3" s="102"/>
      <c r="HU3" s="102"/>
      <c r="HV3" s="102"/>
      <c r="HW3" s="102"/>
      <c r="HX3" s="102"/>
      <c r="HY3" s="102" t="s">
        <v>589</v>
      </c>
      <c r="HZ3" s="102"/>
      <c r="IA3" s="102"/>
      <c r="IB3" s="102"/>
      <c r="IC3" s="102"/>
      <c r="ID3" s="102"/>
      <c r="IE3" s="102"/>
      <c r="IF3" s="102"/>
      <c r="IG3" s="102" t="s">
        <v>589</v>
      </c>
      <c r="IH3" s="102"/>
      <c r="II3" s="102"/>
      <c r="IJ3" s="102"/>
      <c r="IK3" s="102"/>
      <c r="IL3" s="102"/>
      <c r="IM3" s="102"/>
      <c r="IN3" s="102"/>
      <c r="IO3" s="102" t="s">
        <v>589</v>
      </c>
      <c r="IP3" s="102"/>
      <c r="IQ3" s="102"/>
      <c r="IR3" s="102"/>
      <c r="IS3" s="102"/>
      <c r="IT3" s="102"/>
      <c r="IU3" s="102"/>
      <c r="IV3" s="102"/>
    </row>
    <row r="4" spans="1:7" s="748" customFormat="1" ht="16.5" customHeight="1">
      <c r="A4" s="934" t="s">
        <v>352</v>
      </c>
      <c r="B4" s="934" t="s">
        <v>455</v>
      </c>
      <c r="C4" s="934" t="s">
        <v>567</v>
      </c>
      <c r="D4" s="934" t="s">
        <v>125</v>
      </c>
      <c r="E4" s="934" t="s">
        <v>581</v>
      </c>
      <c r="F4" s="934"/>
      <c r="G4" s="934"/>
    </row>
    <row r="5" spans="1:7" s="748" customFormat="1" ht="71.25">
      <c r="A5" s="934"/>
      <c r="B5" s="934"/>
      <c r="C5" s="934"/>
      <c r="D5" s="934"/>
      <c r="E5" s="765" t="s">
        <v>618</v>
      </c>
      <c r="F5" s="765" t="s">
        <v>619</v>
      </c>
      <c r="G5" s="765" t="s">
        <v>620</v>
      </c>
    </row>
    <row r="6" spans="1:7" s="748" customFormat="1" ht="29.25" customHeight="1">
      <c r="A6" s="765" t="s">
        <v>105</v>
      </c>
      <c r="B6" s="765" t="s">
        <v>605</v>
      </c>
      <c r="C6" s="765"/>
      <c r="D6" s="775">
        <f>SUM(D7:D10)</f>
        <v>0</v>
      </c>
      <c r="E6" s="775">
        <f>SUM(E7:E10)</f>
        <v>0</v>
      </c>
      <c r="F6" s="775">
        <f>SUM(F7:F10)</f>
        <v>0</v>
      </c>
      <c r="G6" s="775">
        <f>SUM(G7:G10)</f>
        <v>0</v>
      </c>
    </row>
    <row r="7" spans="1:7" ht="15">
      <c r="A7" s="776">
        <v>1</v>
      </c>
      <c r="B7" s="777" t="s">
        <v>593</v>
      </c>
      <c r="C7" s="778"/>
      <c r="D7" s="778"/>
      <c r="E7" s="778"/>
      <c r="F7" s="778"/>
      <c r="G7" s="778"/>
    </row>
    <row r="8" spans="1:7" ht="15">
      <c r="A8" s="776">
        <v>2</v>
      </c>
      <c r="B8" s="777" t="s">
        <v>579</v>
      </c>
      <c r="C8" s="778"/>
      <c r="D8" s="778"/>
      <c r="E8" s="778"/>
      <c r="F8" s="778"/>
      <c r="G8" s="778"/>
    </row>
    <row r="9" spans="1:7" ht="15">
      <c r="A9" s="776">
        <v>3</v>
      </c>
      <c r="B9" s="777" t="s">
        <v>588</v>
      </c>
      <c r="C9" s="778"/>
      <c r="D9" s="778"/>
      <c r="E9" s="778"/>
      <c r="F9" s="778"/>
      <c r="G9" s="778"/>
    </row>
    <row r="10" spans="1:7" ht="15">
      <c r="A10" s="776">
        <v>4</v>
      </c>
      <c r="B10" s="777" t="s">
        <v>342</v>
      </c>
      <c r="C10" s="778"/>
      <c r="D10" s="778"/>
      <c r="E10" s="778"/>
      <c r="F10" s="778"/>
      <c r="G10" s="778"/>
    </row>
    <row r="11" spans="1:7" s="585" customFormat="1" ht="33.75" customHeight="1">
      <c r="A11" s="765" t="s">
        <v>107</v>
      </c>
      <c r="B11" s="765" t="s">
        <v>606</v>
      </c>
      <c r="C11" s="779"/>
      <c r="D11" s="779">
        <f>SUM(D12:D15)</f>
        <v>0</v>
      </c>
      <c r="E11" s="779">
        <f>SUM(E12:E15)</f>
        <v>0</v>
      </c>
      <c r="F11" s="779">
        <f>SUM(F12:F15)</f>
        <v>0</v>
      </c>
      <c r="G11" s="779">
        <f>SUM(G12:G15)</f>
        <v>0</v>
      </c>
    </row>
    <row r="12" spans="1:7" s="585" customFormat="1" ht="15">
      <c r="A12" s="738">
        <v>1</v>
      </c>
      <c r="B12" s="777" t="s">
        <v>593</v>
      </c>
      <c r="C12" s="779"/>
      <c r="D12" s="779"/>
      <c r="E12" s="779"/>
      <c r="F12" s="779"/>
      <c r="G12" s="779"/>
    </row>
    <row r="13" spans="1:7" s="585" customFormat="1" ht="15">
      <c r="A13" s="738">
        <v>2</v>
      </c>
      <c r="B13" s="777" t="s">
        <v>579</v>
      </c>
      <c r="C13" s="779"/>
      <c r="D13" s="779"/>
      <c r="E13" s="779"/>
      <c r="F13" s="779"/>
      <c r="G13" s="779"/>
    </row>
    <row r="14" spans="1:7" s="585" customFormat="1" ht="15">
      <c r="A14" s="738">
        <v>3</v>
      </c>
      <c r="B14" s="777" t="s">
        <v>588</v>
      </c>
      <c r="C14" s="779"/>
      <c r="D14" s="779"/>
      <c r="E14" s="779"/>
      <c r="F14" s="779"/>
      <c r="G14" s="779"/>
    </row>
    <row r="15" spans="1:7" s="585" customFormat="1" ht="15">
      <c r="A15" s="738">
        <v>4</v>
      </c>
      <c r="B15" s="777" t="s">
        <v>342</v>
      </c>
      <c r="C15" s="779"/>
      <c r="D15" s="779"/>
      <c r="E15" s="779"/>
      <c r="F15" s="779"/>
      <c r="G15" s="779"/>
    </row>
  </sheetData>
  <sheetProtection/>
  <mergeCells count="7">
    <mergeCell ref="A1:G1"/>
    <mergeCell ref="E4:G4"/>
    <mergeCell ref="B4:B5"/>
    <mergeCell ref="C4:C5"/>
    <mergeCell ref="D4:D5"/>
    <mergeCell ref="A4:A5"/>
    <mergeCell ref="A2:G2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421875" style="749" customWidth="1"/>
    <col min="2" max="2" width="25.28125" style="0" customWidth="1"/>
    <col min="3" max="3" width="18.28125" style="0" customWidth="1"/>
    <col min="4" max="4" width="19.421875" style="0" customWidth="1"/>
    <col min="5" max="5" width="20.421875" style="0" customWidth="1"/>
  </cols>
  <sheetData>
    <row r="1" spans="1:5" ht="15">
      <c r="A1" s="959" t="s">
        <v>621</v>
      </c>
      <c r="B1" s="960"/>
      <c r="C1" s="960"/>
      <c r="D1" s="960"/>
      <c r="E1" s="960"/>
    </row>
    <row r="2" spans="1:5" ht="30" customHeight="1">
      <c r="A2" s="961" t="s">
        <v>646</v>
      </c>
      <c r="B2" s="960"/>
      <c r="C2" s="960"/>
      <c r="D2" s="960"/>
      <c r="E2" s="960"/>
    </row>
    <row r="3" spans="1:5" ht="15">
      <c r="A3" s="767"/>
      <c r="B3" s="726"/>
      <c r="C3" s="726"/>
      <c r="D3" s="726"/>
      <c r="E3" s="726"/>
    </row>
    <row r="4" spans="1:5" s="748" customFormat="1" ht="47.25">
      <c r="A4" s="677" t="s">
        <v>0</v>
      </c>
      <c r="B4" s="677" t="s">
        <v>591</v>
      </c>
      <c r="C4" s="678" t="s">
        <v>582</v>
      </c>
      <c r="D4" s="678" t="s">
        <v>598</v>
      </c>
      <c r="E4" s="678" t="s">
        <v>561</v>
      </c>
    </row>
    <row r="5" spans="1:5" ht="15.75">
      <c r="A5" s="390" t="s">
        <v>105</v>
      </c>
      <c r="B5" s="391" t="s">
        <v>94</v>
      </c>
      <c r="C5" s="780">
        <f>SUM(C6:C9)</f>
        <v>0</v>
      </c>
      <c r="D5" s="780"/>
      <c r="E5" s="780"/>
    </row>
    <row r="6" spans="1:5" ht="15.75">
      <c r="A6" s="705">
        <v>1</v>
      </c>
      <c r="B6" s="392"/>
      <c r="C6" s="781">
        <f>SUM(D6:E6)</f>
        <v>0</v>
      </c>
      <c r="D6" s="781"/>
      <c r="E6" s="781"/>
    </row>
    <row r="7" spans="1:5" ht="15.75">
      <c r="A7" s="705">
        <v>2</v>
      </c>
      <c r="B7" s="392"/>
      <c r="C7" s="781">
        <f>SUM(D7:E7)</f>
        <v>0</v>
      </c>
      <c r="D7" s="781"/>
      <c r="E7" s="781"/>
    </row>
    <row r="8" spans="1:5" ht="15.75">
      <c r="A8" s="705">
        <v>3</v>
      </c>
      <c r="B8" s="392"/>
      <c r="C8" s="781">
        <f>SUM(D8:E8)</f>
        <v>0</v>
      </c>
      <c r="D8" s="781"/>
      <c r="E8" s="781"/>
    </row>
    <row r="9" spans="1:5" ht="15.75">
      <c r="A9" s="705" t="s">
        <v>576</v>
      </c>
      <c r="B9" s="392"/>
      <c r="C9" s="781">
        <f>SUM(D9:E9)</f>
        <v>0</v>
      </c>
      <c r="D9" s="781"/>
      <c r="E9" s="781"/>
    </row>
    <row r="10" spans="1:5" s="585" customFormat="1" ht="15.75">
      <c r="A10" s="397" t="s">
        <v>107</v>
      </c>
      <c r="B10" s="395" t="s">
        <v>3</v>
      </c>
      <c r="C10" s="782">
        <f>SUM(C11:C14)</f>
        <v>0</v>
      </c>
      <c r="D10" s="782"/>
      <c r="E10" s="782"/>
    </row>
    <row r="11" spans="1:5" ht="15">
      <c r="A11" s="770">
        <v>1</v>
      </c>
      <c r="B11" s="772"/>
      <c r="C11" s="783">
        <f>SUM(D11:E11)</f>
        <v>0</v>
      </c>
      <c r="D11" s="783"/>
      <c r="E11" s="783"/>
    </row>
    <row r="12" spans="1:5" ht="15">
      <c r="A12" s="770">
        <v>2</v>
      </c>
      <c r="B12" s="772"/>
      <c r="C12" s="783">
        <f>SUM(D12:E12)</f>
        <v>0</v>
      </c>
      <c r="D12" s="783"/>
      <c r="E12" s="783"/>
    </row>
    <row r="13" spans="1:5" ht="15">
      <c r="A13" s="770">
        <v>3</v>
      </c>
      <c r="B13" s="772"/>
      <c r="C13" s="783">
        <f>SUM(D13:E13)</f>
        <v>0</v>
      </c>
      <c r="D13" s="783"/>
      <c r="E13" s="783"/>
    </row>
    <row r="14" spans="1:5" ht="15">
      <c r="A14" s="770" t="s">
        <v>576</v>
      </c>
      <c r="B14" s="772"/>
      <c r="C14" s="783">
        <f>SUM(D14:E14)</f>
        <v>0</v>
      </c>
      <c r="D14" s="783"/>
      <c r="E14" s="783"/>
    </row>
    <row r="15" spans="1:5" s="585" customFormat="1" ht="15">
      <c r="A15" s="769" t="s">
        <v>110</v>
      </c>
      <c r="B15" s="727" t="s">
        <v>4</v>
      </c>
      <c r="C15" s="784">
        <f>SUM(C16:C19)</f>
        <v>0</v>
      </c>
      <c r="D15" s="784"/>
      <c r="E15" s="784"/>
    </row>
    <row r="16" spans="1:5" ht="15">
      <c r="A16" s="785">
        <v>1</v>
      </c>
      <c r="B16" s="772"/>
      <c r="C16" s="783">
        <f>SUM(D16:E16)</f>
        <v>0</v>
      </c>
      <c r="D16" s="783"/>
      <c r="E16" s="783"/>
    </row>
    <row r="17" spans="1:5" ht="15">
      <c r="A17" s="785">
        <v>2</v>
      </c>
      <c r="B17" s="772"/>
      <c r="C17" s="783">
        <f>SUM(D17:E17)</f>
        <v>0</v>
      </c>
      <c r="D17" s="783"/>
      <c r="E17" s="783"/>
    </row>
    <row r="18" spans="1:5" ht="15">
      <c r="A18" s="785">
        <v>3</v>
      </c>
      <c r="B18" s="772"/>
      <c r="C18" s="783">
        <f>SUM(D18:E18)</f>
        <v>0</v>
      </c>
      <c r="D18" s="783"/>
      <c r="E18" s="783"/>
    </row>
    <row r="19" spans="1:5" ht="15">
      <c r="A19" s="770" t="s">
        <v>576</v>
      </c>
      <c r="B19" s="772"/>
      <c r="C19" s="783">
        <f>SUM(D19:E19)</f>
        <v>0</v>
      </c>
      <c r="D19" s="783"/>
      <c r="E19" s="783"/>
    </row>
  </sheetData>
  <sheetProtection/>
  <mergeCells count="2">
    <mergeCell ref="A1:E1"/>
    <mergeCell ref="A2:E2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57421875" style="749" customWidth="1"/>
    <col min="2" max="2" width="10.421875" style="0" customWidth="1"/>
    <col min="3" max="3" width="9.140625" style="0" customWidth="1"/>
    <col min="4" max="4" width="10.57421875" style="0" customWidth="1"/>
    <col min="5" max="5" width="10.00390625" style="0" customWidth="1"/>
    <col min="6" max="7" width="10.421875" style="0" customWidth="1"/>
    <col min="8" max="8" width="12.421875" style="0" customWidth="1"/>
  </cols>
  <sheetData>
    <row r="1" spans="1:8" ht="31.5" customHeight="1">
      <c r="A1" s="952" t="s">
        <v>640</v>
      </c>
      <c r="B1" s="964"/>
      <c r="C1" s="964"/>
      <c r="D1" s="964"/>
      <c r="E1" s="964"/>
      <c r="F1" s="964"/>
      <c r="G1" s="964"/>
      <c r="H1" s="964"/>
    </row>
    <row r="2" spans="1:8" s="746" customFormat="1" ht="30" customHeight="1">
      <c r="A2" s="965" t="s">
        <v>645</v>
      </c>
      <c r="B2" s="964"/>
      <c r="C2" s="964"/>
      <c r="D2" s="964"/>
      <c r="E2" s="964"/>
      <c r="F2" s="964"/>
      <c r="G2" s="964"/>
      <c r="H2" s="964"/>
    </row>
    <row r="3" spans="1:8" ht="15.75">
      <c r="A3" s="786"/>
      <c r="B3" s="675"/>
      <c r="C3" s="675"/>
      <c r="D3" s="675"/>
      <c r="E3" s="675"/>
      <c r="F3" s="675"/>
      <c r="G3" s="675"/>
      <c r="H3" s="675"/>
    </row>
    <row r="4" spans="1:8" s="748" customFormat="1" ht="15.75">
      <c r="A4" s="966" t="s">
        <v>0</v>
      </c>
      <c r="B4" s="966" t="s">
        <v>184</v>
      </c>
      <c r="C4" s="968" t="s">
        <v>562</v>
      </c>
      <c r="D4" s="969"/>
      <c r="E4" s="970" t="s">
        <v>563</v>
      </c>
      <c r="F4" s="971"/>
      <c r="G4" s="970" t="s">
        <v>641</v>
      </c>
      <c r="H4" s="971"/>
    </row>
    <row r="5" spans="1:8" s="748" customFormat="1" ht="63">
      <c r="A5" s="967"/>
      <c r="B5" s="967"/>
      <c r="C5" s="787" t="s">
        <v>564</v>
      </c>
      <c r="D5" s="787" t="s">
        <v>565</v>
      </c>
      <c r="E5" s="787" t="s">
        <v>566</v>
      </c>
      <c r="F5" s="787" t="s">
        <v>565</v>
      </c>
      <c r="G5" s="787" t="s">
        <v>643</v>
      </c>
      <c r="H5" s="787" t="s">
        <v>642</v>
      </c>
    </row>
    <row r="6" spans="1:8" ht="15.75">
      <c r="A6" s="788" t="s">
        <v>9</v>
      </c>
      <c r="B6" s="788" t="s">
        <v>10</v>
      </c>
      <c r="C6" s="789" t="s">
        <v>543</v>
      </c>
      <c r="D6" s="789" t="s">
        <v>100</v>
      </c>
      <c r="E6" s="789" t="s">
        <v>101</v>
      </c>
      <c r="F6" s="789" t="s">
        <v>102</v>
      </c>
      <c r="G6" s="790">
        <v>5</v>
      </c>
      <c r="H6" s="790">
        <v>6</v>
      </c>
    </row>
    <row r="7" spans="1:8" ht="15.75">
      <c r="A7" s="390"/>
      <c r="B7" s="391"/>
      <c r="C7" s="693"/>
      <c r="D7" s="693"/>
      <c r="E7" s="693"/>
      <c r="F7" s="693"/>
      <c r="G7" s="693"/>
      <c r="H7" s="693"/>
    </row>
    <row r="8" spans="1:8" ht="15.75">
      <c r="A8" s="962" t="s">
        <v>212</v>
      </c>
      <c r="B8" s="963"/>
      <c r="C8" s="706"/>
      <c r="D8" s="706"/>
      <c r="E8" s="706"/>
      <c r="F8" s="706"/>
      <c r="G8" s="706"/>
      <c r="H8" s="791"/>
    </row>
  </sheetData>
  <sheetProtection/>
  <mergeCells count="8">
    <mergeCell ref="A8:B8"/>
    <mergeCell ref="A1:H1"/>
    <mergeCell ref="A2:H2"/>
    <mergeCell ref="A4:A5"/>
    <mergeCell ref="B4:B5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6.140625" style="749" customWidth="1"/>
    <col min="2" max="2" width="10.7109375" style="0" customWidth="1"/>
    <col min="3" max="3" width="6.8515625" style="0" customWidth="1"/>
    <col min="4" max="4" width="8.140625" style="0" customWidth="1"/>
    <col min="5" max="5" width="7.7109375" style="0" customWidth="1"/>
    <col min="6" max="6" width="8.421875" style="0" customWidth="1"/>
    <col min="7" max="7" width="8.28125" style="0" customWidth="1"/>
    <col min="8" max="8" width="6.8515625" style="0" customWidth="1"/>
    <col min="9" max="9" width="7.421875" style="0" customWidth="1"/>
    <col min="10" max="10" width="8.28125" style="0" customWidth="1"/>
    <col min="11" max="11" width="8.140625" style="0" customWidth="1"/>
  </cols>
  <sheetData>
    <row r="1" spans="1:11" ht="15">
      <c r="A1" s="960" t="s">
        <v>622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</row>
    <row r="2" spans="1:11" ht="30" customHeight="1">
      <c r="A2" s="960" t="s">
        <v>647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</row>
    <row r="3" spans="1:11" ht="15">
      <c r="A3" s="767"/>
      <c r="B3" s="726"/>
      <c r="C3" s="726"/>
      <c r="D3" s="726"/>
      <c r="E3" s="726"/>
      <c r="F3" s="726"/>
      <c r="G3" s="726"/>
      <c r="H3" s="726"/>
      <c r="I3" s="726"/>
      <c r="J3" s="726"/>
      <c r="K3" s="726"/>
    </row>
    <row r="4" spans="1:11" s="748" customFormat="1" ht="15">
      <c r="A4" s="972" t="s">
        <v>0</v>
      </c>
      <c r="B4" s="972" t="s">
        <v>184</v>
      </c>
      <c r="C4" s="974" t="s">
        <v>592</v>
      </c>
      <c r="D4" s="975"/>
      <c r="E4" s="975"/>
      <c r="F4" s="975"/>
      <c r="G4" s="975"/>
      <c r="H4" s="975"/>
      <c r="I4" s="975"/>
      <c r="J4" s="975"/>
      <c r="K4" s="976"/>
    </row>
    <row r="5" spans="1:11" s="748" customFormat="1" ht="71.25">
      <c r="A5" s="973"/>
      <c r="B5" s="973"/>
      <c r="C5" s="792" t="s">
        <v>568</v>
      </c>
      <c r="D5" s="793" t="s">
        <v>569</v>
      </c>
      <c r="E5" s="793" t="s">
        <v>570</v>
      </c>
      <c r="F5" s="793" t="s">
        <v>583</v>
      </c>
      <c r="G5" s="793" t="s">
        <v>599</v>
      </c>
      <c r="H5" s="793" t="s">
        <v>571</v>
      </c>
      <c r="I5" s="793" t="s">
        <v>572</v>
      </c>
      <c r="J5" s="793" t="s">
        <v>573</v>
      </c>
      <c r="K5" s="793" t="s">
        <v>574</v>
      </c>
    </row>
    <row r="6" spans="1:11" ht="15">
      <c r="A6" s="794"/>
      <c r="B6" s="794"/>
      <c r="C6" s="795"/>
      <c r="D6" s="794"/>
      <c r="E6" s="794"/>
      <c r="F6" s="794"/>
      <c r="G6" s="796"/>
      <c r="H6" s="794"/>
      <c r="I6" s="794"/>
      <c r="J6" s="794"/>
      <c r="K6" s="794"/>
    </row>
    <row r="7" spans="1:11" ht="15">
      <c r="A7" s="794"/>
      <c r="B7" s="794"/>
      <c r="C7" s="795"/>
      <c r="D7" s="794"/>
      <c r="E7" s="794"/>
      <c r="F7" s="794"/>
      <c r="G7" s="796"/>
      <c r="H7" s="794"/>
      <c r="I7" s="794"/>
      <c r="J7" s="794"/>
      <c r="K7" s="794"/>
    </row>
    <row r="8" spans="1:11" ht="15">
      <c r="A8" s="797" t="s">
        <v>212</v>
      </c>
      <c r="B8" s="798">
        <f>SUM(C8:K8)</f>
        <v>0</v>
      </c>
      <c r="C8" s="799"/>
      <c r="D8" s="799"/>
      <c r="E8" s="799"/>
      <c r="F8" s="799"/>
      <c r="G8" s="799"/>
      <c r="H8" s="799"/>
      <c r="I8" s="799"/>
      <c r="J8" s="799"/>
      <c r="K8" s="799"/>
    </row>
  </sheetData>
  <sheetProtection/>
  <mergeCells count="5">
    <mergeCell ref="A4:A5"/>
    <mergeCell ref="B4:B5"/>
    <mergeCell ref="C4:K4"/>
    <mergeCell ref="A1:K1"/>
    <mergeCell ref="A2:K2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00390625" style="749" customWidth="1"/>
    <col min="2" max="2" width="22.140625" style="0" customWidth="1"/>
    <col min="3" max="3" width="15.00390625" style="0" customWidth="1"/>
    <col min="4" max="4" width="15.57421875" style="0" customWidth="1"/>
    <col min="5" max="5" width="16.421875" style="0" customWidth="1"/>
    <col min="6" max="6" width="16.7109375" style="0" customWidth="1"/>
  </cols>
  <sheetData>
    <row r="1" spans="1:6" ht="15">
      <c r="A1" s="959" t="s">
        <v>623</v>
      </c>
      <c r="B1" s="960"/>
      <c r="C1" s="960"/>
      <c r="D1" s="960"/>
      <c r="E1" s="960"/>
      <c r="F1" s="960"/>
    </row>
    <row r="2" spans="1:6" ht="30" customHeight="1">
      <c r="A2" s="979" t="s">
        <v>648</v>
      </c>
      <c r="B2" s="979"/>
      <c r="C2" s="979"/>
      <c r="D2" s="979"/>
      <c r="E2" s="979"/>
      <c r="F2" s="979"/>
    </row>
    <row r="3" spans="1:6" ht="15">
      <c r="A3" s="767"/>
      <c r="B3" s="726"/>
      <c r="C3" s="726"/>
      <c r="D3" s="726"/>
      <c r="E3" s="726"/>
      <c r="F3" s="726"/>
    </row>
    <row r="4" spans="1:6" s="748" customFormat="1" ht="16.5" customHeight="1">
      <c r="A4" s="980" t="s">
        <v>0</v>
      </c>
      <c r="B4" s="977" t="s">
        <v>591</v>
      </c>
      <c r="C4" s="977" t="s">
        <v>560</v>
      </c>
      <c r="D4" s="977"/>
      <c r="E4" s="977" t="s">
        <v>607</v>
      </c>
      <c r="F4" s="977"/>
    </row>
    <row r="5" spans="1:6" s="748" customFormat="1" ht="14.25" customHeight="1">
      <c r="A5" s="980"/>
      <c r="B5" s="977"/>
      <c r="C5" s="977" t="s">
        <v>624</v>
      </c>
      <c r="D5" s="977" t="s">
        <v>625</v>
      </c>
      <c r="E5" s="977" t="s">
        <v>624</v>
      </c>
      <c r="F5" s="977" t="s">
        <v>625</v>
      </c>
    </row>
    <row r="6" spans="1:6" s="748" customFormat="1" ht="28.5" customHeight="1">
      <c r="A6" s="980"/>
      <c r="B6" s="977"/>
      <c r="C6" s="977"/>
      <c r="D6" s="977"/>
      <c r="E6" s="977"/>
      <c r="F6" s="978"/>
    </row>
    <row r="7" spans="1:6" ht="15">
      <c r="A7" s="766" t="s">
        <v>105</v>
      </c>
      <c r="B7" s="800" t="s">
        <v>94</v>
      </c>
      <c r="C7" s="801">
        <f>SUM(C8:C11)</f>
        <v>0</v>
      </c>
      <c r="D7" s="801">
        <f>SUM(D8:D11)</f>
        <v>0</v>
      </c>
      <c r="E7" s="801">
        <f>SUM(E8:E11)</f>
        <v>0</v>
      </c>
      <c r="F7" s="801">
        <f>SUM(F8:F11)</f>
        <v>0</v>
      </c>
    </row>
    <row r="8" spans="1:6" ht="15">
      <c r="A8" s="802">
        <v>1</v>
      </c>
      <c r="B8" s="803"/>
      <c r="C8" s="804"/>
      <c r="D8" s="805"/>
      <c r="E8" s="805"/>
      <c r="F8" s="805"/>
    </row>
    <row r="9" spans="1:6" ht="15">
      <c r="A9" s="806">
        <v>2</v>
      </c>
      <c r="B9" s="807"/>
      <c r="C9" s="804"/>
      <c r="D9" s="808"/>
      <c r="E9" s="808"/>
      <c r="F9" s="808"/>
    </row>
    <row r="10" spans="1:6" ht="15">
      <c r="A10" s="806">
        <v>3</v>
      </c>
      <c r="B10" s="807"/>
      <c r="C10" s="804"/>
      <c r="D10" s="808"/>
      <c r="E10" s="808"/>
      <c r="F10" s="808"/>
    </row>
    <row r="11" spans="1:6" ht="15">
      <c r="A11" s="770" t="s">
        <v>576</v>
      </c>
      <c r="B11" s="771"/>
      <c r="C11" s="804"/>
      <c r="D11" s="783"/>
      <c r="E11" s="783"/>
      <c r="F11" s="783"/>
    </row>
    <row r="12" spans="1:6" s="585" customFormat="1" ht="15">
      <c r="A12" s="769" t="s">
        <v>107</v>
      </c>
      <c r="B12" s="809" t="s">
        <v>3</v>
      </c>
      <c r="C12" s="810">
        <f>SUM(C13:C16)</f>
        <v>0</v>
      </c>
      <c r="D12" s="810">
        <f>SUM(D13:D16)</f>
        <v>0</v>
      </c>
      <c r="E12" s="810">
        <f>SUM(E13:E16)</f>
        <v>0</v>
      </c>
      <c r="F12" s="810">
        <f>SUM(F13:F16)</f>
        <v>0</v>
      </c>
    </row>
    <row r="13" spans="1:6" ht="15">
      <c r="A13" s="770">
        <v>1</v>
      </c>
      <c r="B13" s="771"/>
      <c r="C13" s="811"/>
      <c r="D13" s="783"/>
      <c r="E13" s="783"/>
      <c r="F13" s="783"/>
    </row>
    <row r="14" spans="1:6" ht="15">
      <c r="A14" s="770">
        <v>2</v>
      </c>
      <c r="B14" s="771"/>
      <c r="C14" s="811"/>
      <c r="D14" s="783"/>
      <c r="E14" s="783"/>
      <c r="F14" s="783"/>
    </row>
    <row r="15" spans="1:6" ht="15">
      <c r="A15" s="770">
        <v>3</v>
      </c>
      <c r="B15" s="771"/>
      <c r="C15" s="811"/>
      <c r="D15" s="783"/>
      <c r="E15" s="783"/>
      <c r="F15" s="783"/>
    </row>
    <row r="16" spans="1:6" ht="15">
      <c r="A16" s="770" t="s">
        <v>576</v>
      </c>
      <c r="B16" s="771"/>
      <c r="C16" s="811"/>
      <c r="D16" s="783"/>
      <c r="E16" s="783"/>
      <c r="F16" s="783"/>
    </row>
    <row r="17" spans="1:6" s="585" customFormat="1" ht="15">
      <c r="A17" s="769" t="s">
        <v>110</v>
      </c>
      <c r="B17" s="773" t="s">
        <v>4</v>
      </c>
      <c r="C17" s="812">
        <f>SUM(C18:C21)</f>
        <v>0</v>
      </c>
      <c r="D17" s="812">
        <f>SUM(D18:D21)</f>
        <v>0</v>
      </c>
      <c r="E17" s="812">
        <f>SUM(E18:E21)</f>
        <v>0</v>
      </c>
      <c r="F17" s="812">
        <f>SUM(F18:F21)</f>
        <v>0</v>
      </c>
    </row>
    <row r="18" spans="1:6" ht="15">
      <c r="A18" s="770">
        <v>1</v>
      </c>
      <c r="B18" s="771"/>
      <c r="C18" s="811"/>
      <c r="D18" s="783"/>
      <c r="E18" s="783"/>
      <c r="F18" s="783"/>
    </row>
    <row r="19" spans="1:6" ht="15">
      <c r="A19" s="770">
        <v>2</v>
      </c>
      <c r="B19" s="771"/>
      <c r="C19" s="811"/>
      <c r="D19" s="783"/>
      <c r="E19" s="783"/>
      <c r="F19" s="783"/>
    </row>
    <row r="20" spans="1:6" ht="15">
      <c r="A20" s="770">
        <v>3</v>
      </c>
      <c r="B20" s="771"/>
      <c r="C20" s="811"/>
      <c r="D20" s="783"/>
      <c r="E20" s="783"/>
      <c r="F20" s="783"/>
    </row>
    <row r="21" spans="1:6" ht="15">
      <c r="A21" s="770" t="s">
        <v>576</v>
      </c>
      <c r="B21" s="771"/>
      <c r="C21" s="811"/>
      <c r="D21" s="783"/>
      <c r="E21" s="783"/>
      <c r="F21" s="783"/>
    </row>
    <row r="22" spans="1:6" s="102" customFormat="1" ht="17.25" customHeight="1">
      <c r="A22" s="769" t="s">
        <v>212</v>
      </c>
      <c r="B22" s="727"/>
      <c r="C22" s="813">
        <f>C17+C12+C7</f>
        <v>0</v>
      </c>
      <c r="D22" s="813">
        <f>D17+D12+D7</f>
        <v>0</v>
      </c>
      <c r="E22" s="813">
        <f>E17+E12+E7</f>
        <v>0</v>
      </c>
      <c r="F22" s="813">
        <f>F17+F12+F7</f>
        <v>0</v>
      </c>
    </row>
  </sheetData>
  <sheetProtection/>
  <mergeCells count="10">
    <mergeCell ref="A1:F1"/>
    <mergeCell ref="F5:F6"/>
    <mergeCell ref="C5:C6"/>
    <mergeCell ref="C4:D4"/>
    <mergeCell ref="E4:F4"/>
    <mergeCell ref="E5:E6"/>
    <mergeCell ref="A2:F2"/>
    <mergeCell ref="A4:A6"/>
    <mergeCell ref="B4:B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J5" sqref="J5"/>
    </sheetView>
  </sheetViews>
  <sheetFormatPr defaultColWidth="9.140625" defaultRowHeight="26.25" customHeight="1"/>
  <cols>
    <col min="1" max="1" width="4.8515625" style="749" customWidth="1"/>
    <col min="2" max="2" width="12.00390625" style="0" customWidth="1"/>
    <col min="3" max="3" width="9.28125" style="0" customWidth="1"/>
    <col min="4" max="4" width="12.140625" style="0" customWidth="1"/>
    <col min="5" max="5" width="10.7109375" style="0" customWidth="1"/>
    <col min="6" max="6" width="12.7109375" style="0" customWidth="1"/>
    <col min="7" max="7" width="9.421875" style="0" customWidth="1"/>
    <col min="8" max="8" width="12.57421875" style="0" customWidth="1"/>
  </cols>
  <sheetData>
    <row r="1" spans="1:14" ht="26.25" customHeight="1">
      <c r="A1" s="959" t="s">
        <v>626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</row>
    <row r="2" spans="1:14" s="747" customFormat="1" ht="18.75" customHeight="1">
      <c r="A2" s="981" t="s">
        <v>649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</row>
    <row r="3" spans="1:14" ht="23.25" customHeight="1">
      <c r="A3" s="982" t="s">
        <v>352</v>
      </c>
      <c r="B3" s="982" t="s">
        <v>627</v>
      </c>
      <c r="C3" s="982" t="s">
        <v>608</v>
      </c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</row>
    <row r="4" spans="1:14" ht="24.75" customHeight="1">
      <c r="A4" s="982"/>
      <c r="B4" s="982"/>
      <c r="C4" s="982" t="s">
        <v>609</v>
      </c>
      <c r="D4" s="982"/>
      <c r="E4" s="982"/>
      <c r="F4" s="982" t="s">
        <v>617</v>
      </c>
      <c r="G4" s="982"/>
      <c r="H4" s="982"/>
      <c r="I4" s="982" t="s">
        <v>610</v>
      </c>
      <c r="J4" s="982"/>
      <c r="K4" s="982"/>
      <c r="L4" s="982" t="s">
        <v>309</v>
      </c>
      <c r="M4" s="982"/>
      <c r="N4" s="982"/>
    </row>
    <row r="5" spans="1:14" ht="45" customHeight="1">
      <c r="A5" s="982"/>
      <c r="B5" s="982"/>
      <c r="C5" s="814" t="s">
        <v>611</v>
      </c>
      <c r="D5" s="814" t="s">
        <v>612</v>
      </c>
      <c r="E5" s="814" t="s">
        <v>613</v>
      </c>
      <c r="F5" s="814" t="s">
        <v>611</v>
      </c>
      <c r="G5" s="814" t="s">
        <v>612</v>
      </c>
      <c r="H5" s="814" t="s">
        <v>613</v>
      </c>
      <c r="I5" s="814" t="s">
        <v>611</v>
      </c>
      <c r="J5" s="814" t="s">
        <v>612</v>
      </c>
      <c r="K5" s="814" t="s">
        <v>613</v>
      </c>
      <c r="L5" s="814" t="s">
        <v>611</v>
      </c>
      <c r="M5" s="814" t="s">
        <v>612</v>
      </c>
      <c r="N5" s="814" t="s">
        <v>613</v>
      </c>
    </row>
    <row r="6" spans="1:14" ht="45" customHeight="1">
      <c r="A6" s="814">
        <v>1</v>
      </c>
      <c r="B6" s="815" t="s">
        <v>614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</row>
    <row r="7" spans="1:14" ht="45" customHeight="1">
      <c r="A7" s="814">
        <v>2</v>
      </c>
      <c r="B7" s="815" t="s">
        <v>615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</row>
    <row r="8" spans="1:14" ht="45" customHeight="1">
      <c r="A8" s="814">
        <v>3</v>
      </c>
      <c r="B8" s="815" t="s">
        <v>616</v>
      </c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</row>
  </sheetData>
  <sheetProtection/>
  <mergeCells count="9">
    <mergeCell ref="A1:N1"/>
    <mergeCell ref="A2:N2"/>
    <mergeCell ref="A3:A5"/>
    <mergeCell ref="B3:B5"/>
    <mergeCell ref="C3:N3"/>
    <mergeCell ref="C4:E4"/>
    <mergeCell ref="F4:H4"/>
    <mergeCell ref="I4:K4"/>
    <mergeCell ref="L4:N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749" customWidth="1"/>
    <col min="2" max="2" width="43.28125" style="0" customWidth="1"/>
    <col min="3" max="3" width="19.140625" style="0" customWidth="1"/>
    <col min="4" max="4" width="16.57421875" style="0" customWidth="1"/>
    <col min="5" max="5" width="12.8515625" style="0" customWidth="1"/>
    <col min="6" max="6" width="13.421875" style="0" customWidth="1"/>
    <col min="7" max="7" width="15.7109375" style="0" customWidth="1"/>
    <col min="8" max="8" width="18.00390625" style="0" customWidth="1"/>
  </cols>
  <sheetData>
    <row r="1" spans="1:4" s="764" customFormat="1" ht="15">
      <c r="A1" s="983" t="s">
        <v>634</v>
      </c>
      <c r="B1" s="983"/>
      <c r="C1" s="983"/>
      <c r="D1" s="983"/>
    </row>
    <row r="2" spans="1:4" ht="30.75" customHeight="1">
      <c r="A2" s="984" t="s">
        <v>650</v>
      </c>
      <c r="B2" s="985"/>
      <c r="C2" s="985"/>
      <c r="D2" s="985"/>
    </row>
    <row r="3" spans="1:4" ht="31.5" customHeight="1">
      <c r="A3" s="817" t="s">
        <v>352</v>
      </c>
      <c r="B3" s="817" t="s">
        <v>419</v>
      </c>
      <c r="C3" s="817" t="s">
        <v>613</v>
      </c>
      <c r="D3" s="817" t="s">
        <v>125</v>
      </c>
    </row>
    <row r="4" spans="1:4" ht="31.5">
      <c r="A4" s="818">
        <v>1</v>
      </c>
      <c r="B4" s="819" t="s">
        <v>628</v>
      </c>
      <c r="C4" s="819"/>
      <c r="D4" s="819"/>
    </row>
    <row r="5" spans="1:4" ht="15.75">
      <c r="A5" s="818">
        <v>2</v>
      </c>
      <c r="B5" s="819" t="s">
        <v>629</v>
      </c>
      <c r="C5" s="819"/>
      <c r="D5" s="819"/>
    </row>
    <row r="6" spans="1:4" ht="15.75">
      <c r="A6" s="818" t="s">
        <v>21</v>
      </c>
      <c r="B6" s="819" t="s">
        <v>630</v>
      </c>
      <c r="C6" s="819"/>
      <c r="D6" s="819"/>
    </row>
    <row r="7" spans="1:4" ht="15.75">
      <c r="A7" s="818" t="s">
        <v>22</v>
      </c>
      <c r="B7" s="819" t="s">
        <v>631</v>
      </c>
      <c r="C7" s="819"/>
      <c r="D7" s="819"/>
    </row>
    <row r="8" spans="1:4" ht="31.5">
      <c r="A8" s="818" t="s">
        <v>632</v>
      </c>
      <c r="B8" s="819" t="s">
        <v>633</v>
      </c>
      <c r="C8" s="819"/>
      <c r="D8" s="819"/>
    </row>
  </sheetData>
  <sheetProtection/>
  <mergeCells count="2">
    <mergeCell ref="A1:D1"/>
    <mergeCell ref="A2:D2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4">
      <selection activeCell="B16" sqref="B16:B20"/>
    </sheetView>
  </sheetViews>
  <sheetFormatPr defaultColWidth="9.00390625" defaultRowHeight="15"/>
  <cols>
    <col min="1" max="1" width="4.8515625" style="755" customWidth="1"/>
    <col min="2" max="2" width="22.421875" style="752" customWidth="1"/>
    <col min="3" max="3" width="15.7109375" style="755" customWidth="1"/>
    <col min="4" max="4" width="20.140625" style="752" customWidth="1"/>
    <col min="5" max="5" width="15.421875" style="752" customWidth="1"/>
    <col min="6" max="6" width="8.8515625" style="752" customWidth="1"/>
    <col min="7" max="16384" width="9.00390625" style="752" customWidth="1"/>
  </cols>
  <sheetData>
    <row r="1" spans="1:9" ht="15.75">
      <c r="A1" s="923" t="s">
        <v>636</v>
      </c>
      <c r="B1" s="988"/>
      <c r="C1" s="988"/>
      <c r="D1" s="988"/>
      <c r="E1" s="988"/>
      <c r="F1" s="988"/>
      <c r="G1" s="751"/>
      <c r="H1" s="751"/>
      <c r="I1" s="751"/>
    </row>
    <row r="2" spans="1:9" s="760" customFormat="1" ht="48" customHeight="1">
      <c r="A2" s="987" t="s">
        <v>651</v>
      </c>
      <c r="B2" s="987"/>
      <c r="C2" s="987"/>
      <c r="D2" s="987"/>
      <c r="E2" s="987"/>
      <c r="F2" s="987"/>
      <c r="G2" s="763"/>
      <c r="H2" s="763"/>
      <c r="I2" s="763"/>
    </row>
    <row r="3" spans="1:6" s="754" customFormat="1" ht="47.25">
      <c r="A3" s="753" t="s">
        <v>352</v>
      </c>
      <c r="B3" s="753" t="s">
        <v>1</v>
      </c>
      <c r="C3" s="753" t="s">
        <v>600</v>
      </c>
      <c r="D3" s="753" t="s">
        <v>601</v>
      </c>
      <c r="E3" s="989" t="s">
        <v>545</v>
      </c>
      <c r="F3" s="990"/>
    </row>
    <row r="4" spans="1:6" s="760" customFormat="1" ht="31.5">
      <c r="A4" s="756">
        <v>1</v>
      </c>
      <c r="B4" s="757" t="s">
        <v>594</v>
      </c>
      <c r="C4" s="758" t="s">
        <v>602</v>
      </c>
      <c r="D4" s="759"/>
      <c r="E4" s="986"/>
      <c r="F4" s="986"/>
    </row>
    <row r="5" spans="1:6" s="760" customFormat="1" ht="31.5">
      <c r="A5" s="756">
        <v>2</v>
      </c>
      <c r="B5" s="757" t="s">
        <v>595</v>
      </c>
      <c r="C5" s="758" t="s">
        <v>603</v>
      </c>
      <c r="D5" s="759"/>
      <c r="E5" s="986"/>
      <c r="F5" s="986"/>
    </row>
    <row r="6" spans="1:6" s="760" customFormat="1" ht="31.5">
      <c r="A6" s="756">
        <v>3</v>
      </c>
      <c r="B6" s="757" t="s">
        <v>596</v>
      </c>
      <c r="C6" s="761" t="s">
        <v>604</v>
      </c>
      <c r="D6" s="762"/>
      <c r="E6" s="986"/>
      <c r="F6" s="986"/>
    </row>
    <row r="7" spans="1:6" s="760" customFormat="1" ht="31.5">
      <c r="A7" s="756">
        <v>4</v>
      </c>
      <c r="B7" s="757" t="s">
        <v>597</v>
      </c>
      <c r="C7" s="761" t="s">
        <v>635</v>
      </c>
      <c r="D7" s="762"/>
      <c r="E7" s="986"/>
      <c r="F7" s="986"/>
    </row>
  </sheetData>
  <sheetProtection/>
  <mergeCells count="7">
    <mergeCell ref="E6:F6"/>
    <mergeCell ref="E7:F7"/>
    <mergeCell ref="A2:F2"/>
    <mergeCell ref="A1:F1"/>
    <mergeCell ref="E3:F3"/>
    <mergeCell ref="E4:F4"/>
    <mergeCell ref="E5:F5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6">
      <selection activeCell="M35" sqref="M35"/>
    </sheetView>
  </sheetViews>
  <sheetFormatPr defaultColWidth="9.7109375" defaultRowHeight="18" customHeight="1"/>
  <cols>
    <col min="1" max="1" width="4.00390625" style="198" customWidth="1"/>
    <col min="2" max="2" width="14.140625" style="198" customWidth="1"/>
    <col min="3" max="3" width="12.421875" style="198" customWidth="1"/>
    <col min="4" max="4" width="12.28125" style="198" customWidth="1"/>
    <col min="5" max="5" width="12.00390625" style="198" bestFit="1" customWidth="1"/>
    <col min="6" max="6" width="10.28125" style="198" customWidth="1"/>
    <col min="7" max="7" width="4.7109375" style="198" customWidth="1"/>
    <col min="8" max="8" width="8.7109375" style="198" customWidth="1"/>
    <col min="9" max="9" width="10.8515625" style="198" customWidth="1"/>
    <col min="10" max="10" width="10.57421875" style="198" customWidth="1"/>
    <col min="11" max="11" width="9.140625" style="198" customWidth="1"/>
    <col min="12" max="12" width="8.8515625" style="198" customWidth="1"/>
    <col min="13" max="13" width="9.7109375" style="198" customWidth="1"/>
    <col min="14" max="14" width="12.140625" style="198" customWidth="1"/>
    <col min="15" max="16" width="9.57421875" style="198" customWidth="1"/>
    <col min="17" max="17" width="11.7109375" style="198" customWidth="1"/>
    <col min="18" max="16384" width="9.7109375" style="198" customWidth="1"/>
  </cols>
  <sheetData>
    <row r="1" spans="15:17" ht="18" customHeight="1">
      <c r="O1" s="828" t="s">
        <v>416</v>
      </c>
      <c r="P1" s="828"/>
      <c r="Q1" s="828"/>
    </row>
    <row r="2" spans="1:17" s="233" customFormat="1" ht="11.25" customHeight="1">
      <c r="A2" s="829" t="s">
        <v>0</v>
      </c>
      <c r="B2" s="829" t="s">
        <v>131</v>
      </c>
      <c r="C2" s="820" t="s">
        <v>278</v>
      </c>
      <c r="D2" s="820"/>
      <c r="E2" s="820"/>
      <c r="F2" s="820"/>
      <c r="G2" s="820"/>
      <c r="H2" s="820"/>
      <c r="I2" s="820"/>
      <c r="J2" s="820"/>
      <c r="K2" s="820"/>
      <c r="L2" s="820"/>
      <c r="M2" s="820" t="s">
        <v>286</v>
      </c>
      <c r="N2" s="821" t="s">
        <v>285</v>
      </c>
      <c r="O2" s="820" t="s">
        <v>12</v>
      </c>
      <c r="P2" s="820" t="s">
        <v>282</v>
      </c>
      <c r="Q2" s="820" t="s">
        <v>279</v>
      </c>
    </row>
    <row r="3" spans="1:17" s="233" customFormat="1" ht="14.25" customHeight="1">
      <c r="A3" s="830"/>
      <c r="B3" s="830"/>
      <c r="C3" s="820" t="s">
        <v>11</v>
      </c>
      <c r="D3" s="820" t="s">
        <v>276</v>
      </c>
      <c r="E3" s="820"/>
      <c r="F3" s="820"/>
      <c r="G3" s="820"/>
      <c r="H3" s="820"/>
      <c r="I3" s="820" t="s">
        <v>52</v>
      </c>
      <c r="J3" s="820"/>
      <c r="K3" s="820"/>
      <c r="L3" s="820"/>
      <c r="M3" s="820"/>
      <c r="N3" s="822"/>
      <c r="O3" s="820"/>
      <c r="P3" s="820"/>
      <c r="Q3" s="820"/>
    </row>
    <row r="4" spans="1:17" s="233" customFormat="1" ht="23.25" customHeight="1">
      <c r="A4" s="831"/>
      <c r="B4" s="830"/>
      <c r="C4" s="820"/>
      <c r="D4" s="454" t="s">
        <v>274</v>
      </c>
      <c r="E4" s="454" t="s">
        <v>94</v>
      </c>
      <c r="F4" s="454" t="s">
        <v>3</v>
      </c>
      <c r="G4" s="454" t="s">
        <v>4</v>
      </c>
      <c r="H4" s="454" t="s">
        <v>275</v>
      </c>
      <c r="I4" s="454" t="s">
        <v>277</v>
      </c>
      <c r="J4" s="454" t="s">
        <v>94</v>
      </c>
      <c r="K4" s="454" t="s">
        <v>3</v>
      </c>
      <c r="L4" s="454" t="s">
        <v>4</v>
      </c>
      <c r="M4" s="820"/>
      <c r="N4" s="822"/>
      <c r="O4" s="820"/>
      <c r="P4" s="820"/>
      <c r="Q4" s="820"/>
    </row>
    <row r="5" spans="1:17" s="191" customFormat="1" ht="12.75" customHeight="1">
      <c r="A5" s="189" t="s">
        <v>9</v>
      </c>
      <c r="B5" s="189" t="s">
        <v>10</v>
      </c>
      <c r="C5" s="190" t="s">
        <v>291</v>
      </c>
      <c r="D5" s="190" t="s">
        <v>284</v>
      </c>
      <c r="E5" s="190" t="s">
        <v>101</v>
      </c>
      <c r="F5" s="190" t="s">
        <v>102</v>
      </c>
      <c r="G5" s="190" t="s">
        <v>103</v>
      </c>
      <c r="H5" s="190" t="s">
        <v>230</v>
      </c>
      <c r="I5" s="190" t="s">
        <v>289</v>
      </c>
      <c r="J5" s="190" t="s">
        <v>135</v>
      </c>
      <c r="K5" s="190" t="s">
        <v>231</v>
      </c>
      <c r="L5" s="190" t="s">
        <v>232</v>
      </c>
      <c r="M5" s="190" t="s">
        <v>280</v>
      </c>
      <c r="N5" s="190" t="s">
        <v>290</v>
      </c>
      <c r="O5" s="190" t="s">
        <v>281</v>
      </c>
      <c r="P5" s="190" t="s">
        <v>104</v>
      </c>
      <c r="Q5" s="190" t="s">
        <v>292</v>
      </c>
    </row>
    <row r="6" spans="1:17" s="219" customFormat="1" ht="12.75" customHeight="1">
      <c r="A6" s="455" t="s">
        <v>105</v>
      </c>
      <c r="B6" s="456" t="s">
        <v>61</v>
      </c>
      <c r="C6" s="268">
        <f>SUM(C7:C10)</f>
        <v>317859527</v>
      </c>
      <c r="D6" s="268">
        <f aca="true" t="shared" si="0" ref="D6:Q6">SUM(D7:D10)</f>
        <v>301172000</v>
      </c>
      <c r="E6" s="268">
        <f t="shared" si="0"/>
        <v>300176143</v>
      </c>
      <c r="F6" s="268">
        <f t="shared" si="0"/>
        <v>0</v>
      </c>
      <c r="G6" s="268">
        <f t="shared" si="0"/>
        <v>0</v>
      </c>
      <c r="H6" s="268">
        <f t="shared" si="0"/>
        <v>995857</v>
      </c>
      <c r="I6" s="268">
        <f t="shared" si="0"/>
        <v>16687527</v>
      </c>
      <c r="J6" s="268">
        <f>SUM(J7:J10)</f>
        <v>15932716</v>
      </c>
      <c r="K6" s="268">
        <f t="shared" si="0"/>
        <v>754811</v>
      </c>
      <c r="L6" s="268">
        <f t="shared" si="0"/>
        <v>0</v>
      </c>
      <c r="M6" s="268">
        <f t="shared" si="0"/>
        <v>4343524</v>
      </c>
      <c r="N6" s="268">
        <f t="shared" si="0"/>
        <v>322203051</v>
      </c>
      <c r="O6" s="268">
        <f t="shared" si="0"/>
        <v>0</v>
      </c>
      <c r="P6" s="268">
        <f t="shared" si="0"/>
        <v>0</v>
      </c>
      <c r="Q6" s="268">
        <f t="shared" si="0"/>
        <v>322203051</v>
      </c>
    </row>
    <row r="7" spans="1:17" ht="12.75" customHeight="1">
      <c r="A7" s="220">
        <v>1</v>
      </c>
      <c r="B7" s="221" t="s">
        <v>68</v>
      </c>
      <c r="C7" s="222">
        <f>D7+I7</f>
        <v>96889033</v>
      </c>
      <c r="D7" s="222">
        <f>E7+F7+G7+H7</f>
        <v>96000000</v>
      </c>
      <c r="E7" s="222">
        <v>95648496</v>
      </c>
      <c r="F7" s="222"/>
      <c r="G7" s="222"/>
      <c r="H7" s="222">
        <v>351504</v>
      </c>
      <c r="I7" s="222">
        <f>J7+K7+L7</f>
        <v>889033</v>
      </c>
      <c r="J7" s="222">
        <v>522443</v>
      </c>
      <c r="K7" s="472">
        <v>366590</v>
      </c>
      <c r="L7" s="457"/>
      <c r="M7" s="222">
        <v>974453</v>
      </c>
      <c r="N7" s="458">
        <f>C7+M7</f>
        <v>97863486</v>
      </c>
      <c r="O7" s="222"/>
      <c r="P7" s="222"/>
      <c r="Q7" s="222">
        <f>N7+O7+P7</f>
        <v>97863486</v>
      </c>
    </row>
    <row r="8" spans="1:17" ht="12.75" customHeight="1">
      <c r="A8" s="43">
        <f>A7+1</f>
        <v>2</v>
      </c>
      <c r="B8" s="44" t="s">
        <v>106</v>
      </c>
      <c r="C8" s="200">
        <f aca="true" t="shared" si="1" ref="C8:C41">D8+I8</f>
        <v>206546000</v>
      </c>
      <c r="D8" s="200">
        <f aca="true" t="shared" si="2" ref="D8:D41">E8+F8+G8+H8</f>
        <v>192572000</v>
      </c>
      <c r="E8" s="200">
        <v>191981427</v>
      </c>
      <c r="F8" s="200"/>
      <c r="G8" s="200"/>
      <c r="H8" s="200">
        <v>590573</v>
      </c>
      <c r="I8" s="465">
        <f>J8+K8+L8</f>
        <v>13974000</v>
      </c>
      <c r="J8" s="200">
        <v>13974000</v>
      </c>
      <c r="K8" s="204"/>
      <c r="L8" s="259"/>
      <c r="M8" s="200">
        <v>1535000</v>
      </c>
      <c r="N8" s="222">
        <f aca="true" t="shared" si="3" ref="N8:N41">C8+M8</f>
        <v>208081000</v>
      </c>
      <c r="O8" s="200"/>
      <c r="P8" s="200"/>
      <c r="Q8" s="200">
        <f aca="true" t="shared" si="4" ref="Q8:Q41">N8+O8+P8</f>
        <v>208081000</v>
      </c>
    </row>
    <row r="9" spans="1:17" s="207" customFormat="1" ht="12.75" customHeight="1">
      <c r="A9" s="43">
        <f>A8+1</f>
        <v>3</v>
      </c>
      <c r="B9" s="44" t="s">
        <v>67</v>
      </c>
      <c r="C9" s="204">
        <f t="shared" si="1"/>
        <v>1645639</v>
      </c>
      <c r="D9" s="204">
        <f t="shared" si="2"/>
        <v>0</v>
      </c>
      <c r="E9" s="204"/>
      <c r="F9" s="204"/>
      <c r="G9" s="204"/>
      <c r="H9" s="262"/>
      <c r="I9" s="465">
        <f>J9+K9+L9</f>
        <v>1645639</v>
      </c>
      <c r="J9" s="204">
        <v>1436273</v>
      </c>
      <c r="K9" s="204">
        <v>209366</v>
      </c>
      <c r="L9" s="262"/>
      <c r="M9" s="204">
        <v>1708813</v>
      </c>
      <c r="N9" s="222">
        <f t="shared" si="3"/>
        <v>3354452</v>
      </c>
      <c r="O9" s="204"/>
      <c r="P9" s="204"/>
      <c r="Q9" s="204">
        <f t="shared" si="4"/>
        <v>3354452</v>
      </c>
    </row>
    <row r="10" spans="1:17" ht="12.75" customHeight="1">
      <c r="A10" s="468">
        <f>A9+1</f>
        <v>4</v>
      </c>
      <c r="B10" s="209" t="s">
        <v>70</v>
      </c>
      <c r="C10" s="460">
        <f t="shared" si="1"/>
        <v>12778855</v>
      </c>
      <c r="D10" s="210">
        <f t="shared" si="2"/>
        <v>12600000</v>
      </c>
      <c r="E10" s="210">
        <v>12546220</v>
      </c>
      <c r="F10" s="210"/>
      <c r="G10" s="210"/>
      <c r="H10" s="210">
        <v>53780</v>
      </c>
      <c r="I10" s="210">
        <f>J10+K10+L10</f>
        <v>178855</v>
      </c>
      <c r="J10" s="210"/>
      <c r="K10" s="460">
        <v>178855</v>
      </c>
      <c r="L10" s="461"/>
      <c r="M10" s="210">
        <v>125258</v>
      </c>
      <c r="N10" s="238">
        <f t="shared" si="3"/>
        <v>12904113</v>
      </c>
      <c r="O10" s="461"/>
      <c r="P10" s="461"/>
      <c r="Q10" s="210">
        <f t="shared" si="4"/>
        <v>12904113</v>
      </c>
    </row>
    <row r="11" spans="1:17" s="219" customFormat="1" ht="12.75" customHeight="1">
      <c r="A11" s="213" t="s">
        <v>107</v>
      </c>
      <c r="B11" s="214" t="s">
        <v>62</v>
      </c>
      <c r="C11" s="215">
        <f>SUM(C12:C18)</f>
        <v>111471711</v>
      </c>
      <c r="D11" s="215">
        <f aca="true" t="shared" si="5" ref="D11:Q11">SUM(D12:D18)</f>
        <v>89658708</v>
      </c>
      <c r="E11" s="215">
        <f t="shared" si="5"/>
        <v>89451720</v>
      </c>
      <c r="F11" s="215">
        <f t="shared" si="5"/>
        <v>23636</v>
      </c>
      <c r="G11" s="215">
        <f t="shared" si="5"/>
        <v>0</v>
      </c>
      <c r="H11" s="215">
        <f t="shared" si="5"/>
        <v>183352</v>
      </c>
      <c r="I11" s="215">
        <f t="shared" si="5"/>
        <v>21813003</v>
      </c>
      <c r="J11" s="215">
        <f>SUM(J12:J18)</f>
        <v>20561202</v>
      </c>
      <c r="K11" s="473">
        <f t="shared" si="5"/>
        <v>797788</v>
      </c>
      <c r="L11" s="215">
        <f t="shared" si="5"/>
        <v>454013</v>
      </c>
      <c r="M11" s="215">
        <f t="shared" si="5"/>
        <v>2554695</v>
      </c>
      <c r="N11" s="215">
        <f t="shared" si="5"/>
        <v>114026406</v>
      </c>
      <c r="O11" s="215">
        <f t="shared" si="5"/>
        <v>3000000</v>
      </c>
      <c r="P11" s="215">
        <f t="shared" si="5"/>
        <v>383223</v>
      </c>
      <c r="Q11" s="215">
        <f t="shared" si="5"/>
        <v>117409629</v>
      </c>
    </row>
    <row r="12" spans="1:17" ht="12.75" customHeight="1">
      <c r="A12" s="220">
        <v>5</v>
      </c>
      <c r="B12" s="221" t="s">
        <v>71</v>
      </c>
      <c r="C12" s="222">
        <f t="shared" si="1"/>
        <v>31176679</v>
      </c>
      <c r="D12" s="222">
        <f t="shared" si="2"/>
        <v>29528515</v>
      </c>
      <c r="E12" s="222">
        <v>29440000</v>
      </c>
      <c r="F12" s="222"/>
      <c r="G12" s="222"/>
      <c r="H12" s="222">
        <v>88515</v>
      </c>
      <c r="I12" s="467">
        <f aca="true" t="shared" si="6" ref="I12:I18">J12+K12+L12</f>
        <v>1648164</v>
      </c>
      <c r="J12" s="222">
        <v>1495926</v>
      </c>
      <c r="K12" s="472">
        <v>152238</v>
      </c>
      <c r="L12" s="222"/>
      <c r="M12" s="222">
        <v>974582</v>
      </c>
      <c r="N12" s="222">
        <f t="shared" si="3"/>
        <v>32151261</v>
      </c>
      <c r="O12" s="222"/>
      <c r="P12" s="222"/>
      <c r="Q12" s="222">
        <f t="shared" si="4"/>
        <v>32151261</v>
      </c>
    </row>
    <row r="13" spans="1:17" ht="12.75" customHeight="1">
      <c r="A13" s="43">
        <f aca="true" t="shared" si="7" ref="A13:A18">A12+1</f>
        <v>6</v>
      </c>
      <c r="B13" s="44" t="s">
        <v>72</v>
      </c>
      <c r="C13" s="200">
        <f t="shared" si="1"/>
        <v>17852278</v>
      </c>
      <c r="D13" s="200">
        <f t="shared" si="2"/>
        <v>2350000</v>
      </c>
      <c r="E13" s="200">
        <v>2343937</v>
      </c>
      <c r="F13" s="200"/>
      <c r="G13" s="200"/>
      <c r="H13" s="200">
        <v>6063</v>
      </c>
      <c r="I13" s="465">
        <f t="shared" si="6"/>
        <v>15502278</v>
      </c>
      <c r="J13" s="200">
        <v>14463569</v>
      </c>
      <c r="K13" s="204">
        <v>584696</v>
      </c>
      <c r="L13" s="222">
        <v>454013</v>
      </c>
      <c r="M13" s="200">
        <v>1056377</v>
      </c>
      <c r="N13" s="222">
        <f t="shared" si="3"/>
        <v>18908655</v>
      </c>
      <c r="O13" s="200"/>
      <c r="P13" s="200"/>
      <c r="Q13" s="200">
        <f t="shared" si="4"/>
        <v>18908655</v>
      </c>
    </row>
    <row r="14" spans="1:17" ht="12.75" customHeight="1">
      <c r="A14" s="43">
        <f t="shared" si="7"/>
        <v>7</v>
      </c>
      <c r="B14" s="44" t="s">
        <v>108</v>
      </c>
      <c r="C14" s="200">
        <f t="shared" si="1"/>
        <v>3300000</v>
      </c>
      <c r="D14" s="200">
        <f t="shared" si="2"/>
        <v>3300000</v>
      </c>
      <c r="E14" s="200">
        <v>3300000</v>
      </c>
      <c r="F14" s="200"/>
      <c r="G14" s="200"/>
      <c r="H14" s="259"/>
      <c r="I14" s="200">
        <f t="shared" si="6"/>
        <v>0</v>
      </c>
      <c r="J14" s="200"/>
      <c r="K14" s="204"/>
      <c r="L14" s="222"/>
      <c r="M14" s="200">
        <v>130375</v>
      </c>
      <c r="N14" s="222">
        <f t="shared" si="3"/>
        <v>3430375</v>
      </c>
      <c r="O14" s="200"/>
      <c r="P14" s="200">
        <v>357725</v>
      </c>
      <c r="Q14" s="200">
        <f t="shared" si="4"/>
        <v>3788100</v>
      </c>
    </row>
    <row r="15" spans="1:17" ht="12.75" customHeight="1">
      <c r="A15" s="220">
        <f t="shared" si="7"/>
        <v>8</v>
      </c>
      <c r="B15" s="44" t="s">
        <v>73</v>
      </c>
      <c r="C15" s="200">
        <f t="shared" si="1"/>
        <v>31269118</v>
      </c>
      <c r="D15" s="200">
        <f t="shared" si="2"/>
        <v>26606557</v>
      </c>
      <c r="E15" s="200">
        <v>26564000</v>
      </c>
      <c r="F15" s="200"/>
      <c r="G15" s="200"/>
      <c r="H15" s="200">
        <v>42557</v>
      </c>
      <c r="I15" s="465">
        <f t="shared" si="6"/>
        <v>4662561</v>
      </c>
      <c r="J15" s="200">
        <v>4601707</v>
      </c>
      <c r="K15" s="204">
        <v>60854</v>
      </c>
      <c r="L15" s="222"/>
      <c r="M15" s="200">
        <v>307640</v>
      </c>
      <c r="N15" s="222">
        <f t="shared" si="3"/>
        <v>31576758</v>
      </c>
      <c r="O15" s="200">
        <v>3000000</v>
      </c>
      <c r="P15" s="200"/>
      <c r="Q15" s="200">
        <f t="shared" si="4"/>
        <v>34576758</v>
      </c>
    </row>
    <row r="16" spans="1:17" ht="12.75" customHeight="1">
      <c r="A16" s="43">
        <f t="shared" si="7"/>
        <v>9</v>
      </c>
      <c r="B16" s="44" t="s">
        <v>75</v>
      </c>
      <c r="C16" s="200">
        <f t="shared" si="1"/>
        <v>14223636</v>
      </c>
      <c r="D16" s="200">
        <f t="shared" si="2"/>
        <v>14223636</v>
      </c>
      <c r="E16" s="200">
        <v>14176364</v>
      </c>
      <c r="F16" s="200">
        <v>23636</v>
      </c>
      <c r="G16" s="200"/>
      <c r="H16" s="200">
        <v>23636</v>
      </c>
      <c r="I16" s="200">
        <f t="shared" si="6"/>
        <v>0</v>
      </c>
      <c r="J16" s="200"/>
      <c r="K16" s="465"/>
      <c r="L16" s="222"/>
      <c r="M16" s="200">
        <v>85721</v>
      </c>
      <c r="N16" s="222">
        <f t="shared" si="3"/>
        <v>14309357</v>
      </c>
      <c r="O16" s="200"/>
      <c r="P16" s="200"/>
      <c r="Q16" s="200">
        <f t="shared" si="4"/>
        <v>14309357</v>
      </c>
    </row>
    <row r="17" spans="1:17" ht="12.75" customHeight="1">
      <c r="A17" s="43">
        <f t="shared" si="7"/>
        <v>10</v>
      </c>
      <c r="B17" s="44" t="s">
        <v>109</v>
      </c>
      <c r="C17" s="200">
        <f t="shared" si="1"/>
        <v>13500000</v>
      </c>
      <c r="D17" s="200">
        <f t="shared" si="2"/>
        <v>13500000</v>
      </c>
      <c r="E17" s="200">
        <v>13477419</v>
      </c>
      <c r="F17" s="200"/>
      <c r="G17" s="200"/>
      <c r="H17" s="200">
        <v>22581</v>
      </c>
      <c r="I17" s="200">
        <f t="shared" si="6"/>
        <v>0</v>
      </c>
      <c r="J17" s="200"/>
      <c r="K17" s="200"/>
      <c r="L17" s="222"/>
      <c r="M17" s="200"/>
      <c r="N17" s="222">
        <f t="shared" si="3"/>
        <v>13500000</v>
      </c>
      <c r="O17" s="200"/>
      <c r="P17" s="200">
        <v>25498</v>
      </c>
      <c r="Q17" s="200">
        <f t="shared" si="4"/>
        <v>13525498</v>
      </c>
    </row>
    <row r="18" spans="1:17" ht="12.75" customHeight="1">
      <c r="A18" s="220">
        <f t="shared" si="7"/>
        <v>11</v>
      </c>
      <c r="B18" s="209" t="s">
        <v>77</v>
      </c>
      <c r="C18" s="210">
        <f t="shared" si="1"/>
        <v>150000</v>
      </c>
      <c r="D18" s="210">
        <f t="shared" si="2"/>
        <v>150000</v>
      </c>
      <c r="E18" s="210">
        <v>150000</v>
      </c>
      <c r="F18" s="210"/>
      <c r="G18" s="210"/>
      <c r="H18" s="210"/>
      <c r="I18" s="210">
        <f t="shared" si="6"/>
        <v>0</v>
      </c>
      <c r="J18" s="210"/>
      <c r="K18" s="210"/>
      <c r="L18" s="238"/>
      <c r="M18" s="210"/>
      <c r="N18" s="238">
        <f t="shared" si="3"/>
        <v>150000</v>
      </c>
      <c r="O18" s="210"/>
      <c r="P18" s="210"/>
      <c r="Q18" s="210">
        <f t="shared" si="4"/>
        <v>150000</v>
      </c>
    </row>
    <row r="19" spans="1:17" s="219" customFormat="1" ht="12.75" customHeight="1">
      <c r="A19" s="213" t="s">
        <v>110</v>
      </c>
      <c r="B19" s="214" t="s">
        <v>63</v>
      </c>
      <c r="C19" s="215">
        <f>SUM(C20:C24)</f>
        <v>62677869</v>
      </c>
      <c r="D19" s="215">
        <f aca="true" t="shared" si="8" ref="D19:Q19">SUM(D20:D24)</f>
        <v>8400000</v>
      </c>
      <c r="E19" s="215">
        <f t="shared" si="8"/>
        <v>8400000</v>
      </c>
      <c r="F19" s="215">
        <f t="shared" si="8"/>
        <v>0</v>
      </c>
      <c r="G19" s="215">
        <f t="shared" si="8"/>
        <v>0</v>
      </c>
      <c r="H19" s="215">
        <f t="shared" si="8"/>
        <v>0</v>
      </c>
      <c r="I19" s="215">
        <f t="shared" si="8"/>
        <v>54277869</v>
      </c>
      <c r="J19" s="215">
        <f t="shared" si="8"/>
        <v>50730711</v>
      </c>
      <c r="K19" s="215">
        <f t="shared" si="8"/>
        <v>3543408</v>
      </c>
      <c r="L19" s="463">
        <f t="shared" si="8"/>
        <v>3750</v>
      </c>
      <c r="M19" s="215">
        <f t="shared" si="8"/>
        <v>3865655</v>
      </c>
      <c r="N19" s="215">
        <f t="shared" si="8"/>
        <v>66543524</v>
      </c>
      <c r="O19" s="215">
        <f t="shared" si="8"/>
        <v>5000000</v>
      </c>
      <c r="P19" s="215">
        <f t="shared" si="8"/>
        <v>1372756</v>
      </c>
      <c r="Q19" s="215">
        <f t="shared" si="8"/>
        <v>72916280</v>
      </c>
    </row>
    <row r="20" spans="1:17" ht="12.75" customHeight="1">
      <c r="A20" s="220">
        <v>12</v>
      </c>
      <c r="B20" s="221" t="s">
        <v>78</v>
      </c>
      <c r="C20" s="222">
        <f t="shared" si="1"/>
        <v>4089284</v>
      </c>
      <c r="D20" s="222">
        <f t="shared" si="2"/>
        <v>3400000</v>
      </c>
      <c r="E20" s="222">
        <v>3400000</v>
      </c>
      <c r="F20" s="222"/>
      <c r="G20" s="222"/>
      <c r="H20" s="222"/>
      <c r="I20" s="467">
        <f>J20+K20+L20</f>
        <v>689284</v>
      </c>
      <c r="J20" s="222">
        <v>83330</v>
      </c>
      <c r="K20" s="222">
        <v>602204</v>
      </c>
      <c r="L20" s="222">
        <v>3750</v>
      </c>
      <c r="M20" s="222">
        <v>185218</v>
      </c>
      <c r="N20" s="222">
        <f t="shared" si="3"/>
        <v>4274502</v>
      </c>
      <c r="O20" s="222"/>
      <c r="P20" s="222"/>
      <c r="Q20" s="222">
        <f t="shared" si="4"/>
        <v>4274502</v>
      </c>
    </row>
    <row r="21" spans="1:17" ht="12.75" customHeight="1">
      <c r="A21" s="43">
        <v>13</v>
      </c>
      <c r="B21" s="44" t="s">
        <v>79</v>
      </c>
      <c r="C21" s="200">
        <f t="shared" si="1"/>
        <v>40858826</v>
      </c>
      <c r="D21" s="200">
        <f t="shared" si="2"/>
        <v>5000000</v>
      </c>
      <c r="E21" s="200">
        <v>5000000</v>
      </c>
      <c r="F21" s="200"/>
      <c r="G21" s="200"/>
      <c r="H21" s="200"/>
      <c r="I21" s="465">
        <f>J21+K21+L21</f>
        <v>35858826</v>
      </c>
      <c r="J21" s="200">
        <v>35830789</v>
      </c>
      <c r="K21" s="200">
        <v>28037</v>
      </c>
      <c r="L21" s="222"/>
      <c r="M21" s="200">
        <v>3476837</v>
      </c>
      <c r="N21" s="222">
        <f t="shared" si="3"/>
        <v>44335663</v>
      </c>
      <c r="O21" s="200"/>
      <c r="P21" s="200">
        <v>1034523</v>
      </c>
      <c r="Q21" s="200">
        <f t="shared" si="4"/>
        <v>45370186</v>
      </c>
    </row>
    <row r="22" spans="1:17" ht="12.75" customHeight="1">
      <c r="A22" s="43">
        <f>A21+1</f>
        <v>14</v>
      </c>
      <c r="B22" s="44" t="s">
        <v>111</v>
      </c>
      <c r="C22" s="200">
        <f t="shared" si="1"/>
        <v>193388</v>
      </c>
      <c r="D22" s="200">
        <f t="shared" si="2"/>
        <v>0</v>
      </c>
      <c r="E22" s="200"/>
      <c r="F22" s="200"/>
      <c r="G22" s="200"/>
      <c r="H22" s="200"/>
      <c r="I22" s="465">
        <f>J22+K22+L22</f>
        <v>193388</v>
      </c>
      <c r="J22" s="200"/>
      <c r="K22" s="200">
        <v>193388</v>
      </c>
      <c r="L22" s="222"/>
      <c r="M22" s="200"/>
      <c r="N22" s="222">
        <f t="shared" si="3"/>
        <v>193388</v>
      </c>
      <c r="O22" s="200">
        <v>5000000</v>
      </c>
      <c r="P22" s="200">
        <v>39300</v>
      </c>
      <c r="Q22" s="200">
        <f t="shared" si="4"/>
        <v>5232688</v>
      </c>
    </row>
    <row r="23" spans="1:17" ht="12.75" customHeight="1">
      <c r="A23" s="220">
        <f>A22+1</f>
        <v>15</v>
      </c>
      <c r="B23" s="44" t="s">
        <v>112</v>
      </c>
      <c r="C23" s="200">
        <f t="shared" si="1"/>
        <v>7720706</v>
      </c>
      <c r="D23" s="200">
        <f t="shared" si="2"/>
        <v>0</v>
      </c>
      <c r="E23" s="200"/>
      <c r="F23" s="200"/>
      <c r="G23" s="200"/>
      <c r="H23" s="200"/>
      <c r="I23" s="465">
        <f>J23+K23+L23</f>
        <v>7720706</v>
      </c>
      <c r="J23" s="200">
        <v>7720706</v>
      </c>
      <c r="K23" s="200"/>
      <c r="L23" s="222"/>
      <c r="M23" s="200">
        <v>113771</v>
      </c>
      <c r="N23" s="222">
        <f t="shared" si="3"/>
        <v>7834477</v>
      </c>
      <c r="O23" s="200"/>
      <c r="P23" s="200">
        <v>298933</v>
      </c>
      <c r="Q23" s="200">
        <f t="shared" si="4"/>
        <v>8133410</v>
      </c>
    </row>
    <row r="24" spans="1:17" ht="12.75" customHeight="1">
      <c r="A24" s="43">
        <f>A23+1</f>
        <v>16</v>
      </c>
      <c r="B24" s="209" t="s">
        <v>81</v>
      </c>
      <c r="C24" s="210">
        <f t="shared" si="1"/>
        <v>9815665</v>
      </c>
      <c r="D24" s="210">
        <f t="shared" si="2"/>
        <v>0</v>
      </c>
      <c r="E24" s="210"/>
      <c r="F24" s="210"/>
      <c r="G24" s="210"/>
      <c r="H24" s="210"/>
      <c r="I24" s="210">
        <f>J24+K24+L24</f>
        <v>9815665</v>
      </c>
      <c r="J24" s="210">
        <v>7095886</v>
      </c>
      <c r="K24" s="210">
        <v>2719779</v>
      </c>
      <c r="L24" s="238"/>
      <c r="M24" s="210">
        <v>89829</v>
      </c>
      <c r="N24" s="238">
        <f t="shared" si="3"/>
        <v>9905494</v>
      </c>
      <c r="O24" s="210"/>
      <c r="P24" s="210"/>
      <c r="Q24" s="210">
        <f t="shared" si="4"/>
        <v>9905494</v>
      </c>
    </row>
    <row r="25" spans="1:17" s="219" customFormat="1" ht="12.75" customHeight="1">
      <c r="A25" s="213" t="s">
        <v>113</v>
      </c>
      <c r="B25" s="214" t="s">
        <v>64</v>
      </c>
      <c r="C25" s="215">
        <f>SUM(C26:C32)</f>
        <v>75575406</v>
      </c>
      <c r="D25" s="215">
        <f aca="true" t="shared" si="9" ref="D25:Q25">SUM(D26:D32)</f>
        <v>35768187</v>
      </c>
      <c r="E25" s="215">
        <f t="shared" si="9"/>
        <v>34936480</v>
      </c>
      <c r="F25" s="215">
        <f t="shared" si="9"/>
        <v>796632</v>
      </c>
      <c r="G25" s="215">
        <f t="shared" si="9"/>
        <v>0</v>
      </c>
      <c r="H25" s="215">
        <f t="shared" si="9"/>
        <v>35075</v>
      </c>
      <c r="I25" s="215">
        <f t="shared" si="9"/>
        <v>39807219</v>
      </c>
      <c r="J25" s="215">
        <f>SUM(J26:J32)</f>
        <v>38141408</v>
      </c>
      <c r="K25" s="215">
        <f t="shared" si="9"/>
        <v>1665811</v>
      </c>
      <c r="L25" s="463">
        <f t="shared" si="9"/>
        <v>0</v>
      </c>
      <c r="M25" s="215">
        <f t="shared" si="9"/>
        <v>5852240</v>
      </c>
      <c r="N25" s="215">
        <f t="shared" si="9"/>
        <v>81427646</v>
      </c>
      <c r="O25" s="215">
        <f t="shared" si="9"/>
        <v>175200</v>
      </c>
      <c r="P25" s="215">
        <f t="shared" si="9"/>
        <v>8065173</v>
      </c>
      <c r="Q25" s="215">
        <f t="shared" si="9"/>
        <v>89668019</v>
      </c>
    </row>
    <row r="26" spans="1:17" ht="12.75" customHeight="1">
      <c r="A26" s="220">
        <v>17</v>
      </c>
      <c r="B26" s="221" t="s">
        <v>114</v>
      </c>
      <c r="C26" s="222">
        <f t="shared" si="1"/>
        <v>41875182</v>
      </c>
      <c r="D26" s="222">
        <f t="shared" si="2"/>
        <v>6746000</v>
      </c>
      <c r="E26" s="222">
        <v>6746000</v>
      </c>
      <c r="F26" s="222"/>
      <c r="G26" s="222"/>
      <c r="H26" s="222"/>
      <c r="I26" s="467">
        <f aca="true" t="shared" si="10" ref="I26:I32">J26+K26+L26</f>
        <v>35129182</v>
      </c>
      <c r="J26" s="222">
        <v>34763908</v>
      </c>
      <c r="K26" s="222">
        <v>365274</v>
      </c>
      <c r="L26" s="222"/>
      <c r="M26" s="222">
        <v>5293107</v>
      </c>
      <c r="N26" s="222">
        <f t="shared" si="3"/>
        <v>47168289</v>
      </c>
      <c r="O26" s="222"/>
      <c r="P26" s="222">
        <v>8065173</v>
      </c>
      <c r="Q26" s="222">
        <f t="shared" si="4"/>
        <v>55233462</v>
      </c>
    </row>
    <row r="27" spans="1:17" ht="12.75" customHeight="1">
      <c r="A27" s="43">
        <f aca="true" t="shared" si="11" ref="A27:A32">A26+1</f>
        <v>18</v>
      </c>
      <c r="B27" s="44" t="s">
        <v>115</v>
      </c>
      <c r="C27" s="200">
        <f t="shared" si="1"/>
        <v>1766116</v>
      </c>
      <c r="D27" s="200">
        <f t="shared" si="2"/>
        <v>0</v>
      </c>
      <c r="E27" s="200"/>
      <c r="F27" s="200"/>
      <c r="G27" s="200"/>
      <c r="H27" s="200"/>
      <c r="I27" s="465">
        <f t="shared" si="10"/>
        <v>1766116</v>
      </c>
      <c r="J27" s="200">
        <v>1766116</v>
      </c>
      <c r="K27" s="200"/>
      <c r="L27" s="222"/>
      <c r="M27" s="200"/>
      <c r="N27" s="222">
        <f t="shared" si="3"/>
        <v>1766116</v>
      </c>
      <c r="O27" s="200">
        <v>25200</v>
      </c>
      <c r="P27" s="200"/>
      <c r="Q27" s="200">
        <f t="shared" si="4"/>
        <v>1791316</v>
      </c>
    </row>
    <row r="28" spans="1:17" ht="12.75" customHeight="1">
      <c r="A28" s="43">
        <f t="shared" si="11"/>
        <v>19</v>
      </c>
      <c r="B28" s="44" t="s">
        <v>116</v>
      </c>
      <c r="C28" s="200">
        <f t="shared" si="1"/>
        <v>0</v>
      </c>
      <c r="D28" s="200">
        <f t="shared" si="2"/>
        <v>0</v>
      </c>
      <c r="E28" s="200"/>
      <c r="F28" s="200"/>
      <c r="G28" s="200"/>
      <c r="H28" s="200"/>
      <c r="I28" s="200">
        <f t="shared" si="10"/>
        <v>0</v>
      </c>
      <c r="J28" s="200"/>
      <c r="K28" s="200"/>
      <c r="L28" s="222"/>
      <c r="M28" s="200"/>
      <c r="N28" s="222">
        <f t="shared" si="3"/>
        <v>0</v>
      </c>
      <c r="O28" s="200"/>
      <c r="P28" s="200"/>
      <c r="Q28" s="200">
        <f t="shared" si="4"/>
        <v>0</v>
      </c>
    </row>
    <row r="29" spans="1:17" ht="12.75" customHeight="1">
      <c r="A29" s="220">
        <f t="shared" si="11"/>
        <v>20</v>
      </c>
      <c r="B29" s="44" t="s">
        <v>84</v>
      </c>
      <c r="C29" s="200">
        <f t="shared" si="1"/>
        <v>160242</v>
      </c>
      <c r="D29" s="200">
        <f t="shared" si="2"/>
        <v>160242</v>
      </c>
      <c r="E29" s="200">
        <v>160000</v>
      </c>
      <c r="F29" s="200"/>
      <c r="G29" s="200"/>
      <c r="H29" s="200">
        <v>242</v>
      </c>
      <c r="I29" s="200">
        <f t="shared" si="10"/>
        <v>0</v>
      </c>
      <c r="J29" s="200"/>
      <c r="K29" s="200"/>
      <c r="L29" s="222"/>
      <c r="M29" s="200"/>
      <c r="N29" s="222">
        <f t="shared" si="3"/>
        <v>160242</v>
      </c>
      <c r="O29" s="200"/>
      <c r="P29" s="200"/>
      <c r="Q29" s="200">
        <f t="shared" si="4"/>
        <v>160242</v>
      </c>
    </row>
    <row r="30" spans="1:17" ht="12.75" customHeight="1">
      <c r="A30" s="43">
        <f t="shared" si="11"/>
        <v>21</v>
      </c>
      <c r="B30" s="44" t="s">
        <v>83</v>
      </c>
      <c r="C30" s="200">
        <f t="shared" si="1"/>
        <v>2243550</v>
      </c>
      <c r="D30" s="200">
        <f t="shared" si="2"/>
        <v>1361945</v>
      </c>
      <c r="E30" s="200">
        <v>1360000</v>
      </c>
      <c r="F30" s="200"/>
      <c r="G30" s="200"/>
      <c r="H30" s="200">
        <v>1945</v>
      </c>
      <c r="I30" s="200">
        <f t="shared" si="10"/>
        <v>881605</v>
      </c>
      <c r="J30" s="200">
        <v>0</v>
      </c>
      <c r="K30" s="200">
        <v>881605</v>
      </c>
      <c r="L30" s="222"/>
      <c r="M30" s="200">
        <v>74133</v>
      </c>
      <c r="N30" s="222">
        <f t="shared" si="3"/>
        <v>2317683</v>
      </c>
      <c r="O30" s="200">
        <v>150000</v>
      </c>
      <c r="P30" s="200"/>
      <c r="Q30" s="200">
        <f t="shared" si="4"/>
        <v>2467683</v>
      </c>
    </row>
    <row r="31" spans="1:17" ht="12.75" customHeight="1">
      <c r="A31" s="220">
        <f t="shared" si="11"/>
        <v>22</v>
      </c>
      <c r="B31" s="44" t="s">
        <v>85</v>
      </c>
      <c r="C31" s="200">
        <f t="shared" si="1"/>
        <v>28296724</v>
      </c>
      <c r="D31" s="200">
        <f t="shared" si="2"/>
        <v>27500000</v>
      </c>
      <c r="E31" s="200">
        <v>26670480</v>
      </c>
      <c r="F31" s="200">
        <v>796632</v>
      </c>
      <c r="G31" s="200"/>
      <c r="H31" s="200">
        <v>32888</v>
      </c>
      <c r="I31" s="200">
        <f t="shared" si="10"/>
        <v>796724</v>
      </c>
      <c r="J31" s="200">
        <v>796724</v>
      </c>
      <c r="K31" s="200"/>
      <c r="L31" s="222"/>
      <c r="M31" s="200">
        <v>485000</v>
      </c>
      <c r="N31" s="222">
        <f t="shared" si="3"/>
        <v>28781724</v>
      </c>
      <c r="O31" s="200"/>
      <c r="P31" s="200"/>
      <c r="Q31" s="200">
        <f t="shared" si="4"/>
        <v>28781724</v>
      </c>
    </row>
    <row r="32" spans="1:17" ht="12.75" customHeight="1">
      <c r="A32" s="43">
        <f t="shared" si="11"/>
        <v>23</v>
      </c>
      <c r="B32" s="209" t="s">
        <v>86</v>
      </c>
      <c r="C32" s="210">
        <f t="shared" si="1"/>
        <v>1233592</v>
      </c>
      <c r="D32" s="210">
        <f t="shared" si="2"/>
        <v>0</v>
      </c>
      <c r="E32" s="210"/>
      <c r="F32" s="210"/>
      <c r="G32" s="210"/>
      <c r="H32" s="210"/>
      <c r="I32" s="466">
        <f t="shared" si="10"/>
        <v>1233592</v>
      </c>
      <c r="J32" s="210">
        <v>814660</v>
      </c>
      <c r="K32" s="210">
        <v>418932</v>
      </c>
      <c r="L32" s="238"/>
      <c r="M32" s="210"/>
      <c r="N32" s="238">
        <f t="shared" si="3"/>
        <v>1233592</v>
      </c>
      <c r="O32" s="210"/>
      <c r="P32" s="210"/>
      <c r="Q32" s="210">
        <f t="shared" si="4"/>
        <v>1233592</v>
      </c>
    </row>
    <row r="33" spans="1:17" s="219" customFormat="1" ht="12.75" customHeight="1">
      <c r="A33" s="213" t="s">
        <v>117</v>
      </c>
      <c r="B33" s="214" t="s">
        <v>65</v>
      </c>
      <c r="C33" s="215">
        <f>SUM(C34:C38)</f>
        <v>423303049</v>
      </c>
      <c r="D33" s="215">
        <f aca="true" t="shared" si="12" ref="D33:Q33">SUM(D34:D38)</f>
        <v>310110239</v>
      </c>
      <c r="E33" s="215">
        <f t="shared" si="12"/>
        <v>302677228</v>
      </c>
      <c r="F33" s="215">
        <f t="shared" si="12"/>
        <v>6822772</v>
      </c>
      <c r="G33" s="215">
        <f t="shared" si="12"/>
        <v>0</v>
      </c>
      <c r="H33" s="215">
        <f t="shared" si="12"/>
        <v>610239</v>
      </c>
      <c r="I33" s="215">
        <f t="shared" si="12"/>
        <v>113192810</v>
      </c>
      <c r="J33" s="215">
        <f>SUM(J34:J38)</f>
        <v>111520028</v>
      </c>
      <c r="K33" s="215">
        <f t="shared" si="12"/>
        <v>895013</v>
      </c>
      <c r="L33" s="463">
        <f t="shared" si="12"/>
        <v>777769</v>
      </c>
      <c r="M33" s="215">
        <f t="shared" si="12"/>
        <v>10652316</v>
      </c>
      <c r="N33" s="215">
        <f t="shared" si="12"/>
        <v>433955365</v>
      </c>
      <c r="O33" s="215">
        <f t="shared" si="12"/>
        <v>0</v>
      </c>
      <c r="P33" s="215">
        <f t="shared" si="12"/>
        <v>10910942</v>
      </c>
      <c r="Q33" s="215">
        <f t="shared" si="12"/>
        <v>444866307</v>
      </c>
    </row>
    <row r="34" spans="1:17" ht="12.75" customHeight="1">
      <c r="A34" s="220">
        <v>24</v>
      </c>
      <c r="B34" s="221" t="s">
        <v>87</v>
      </c>
      <c r="C34" s="222">
        <f t="shared" si="1"/>
        <v>129919450</v>
      </c>
      <c r="D34" s="222">
        <f t="shared" si="2"/>
        <v>124000000</v>
      </c>
      <c r="E34" s="222">
        <v>124000000</v>
      </c>
      <c r="F34" s="222"/>
      <c r="G34" s="222"/>
      <c r="H34" s="222"/>
      <c r="I34" s="222">
        <f>J34+K34+L34</f>
        <v>5919450</v>
      </c>
      <c r="J34" s="222">
        <v>5919450</v>
      </c>
      <c r="K34" s="222"/>
      <c r="L34" s="222"/>
      <c r="M34" s="222">
        <v>8314046</v>
      </c>
      <c r="N34" s="222">
        <f t="shared" si="3"/>
        <v>138233496</v>
      </c>
      <c r="O34" s="222"/>
      <c r="P34" s="222">
        <v>178942</v>
      </c>
      <c r="Q34" s="222">
        <f t="shared" si="4"/>
        <v>138412438</v>
      </c>
    </row>
    <row r="35" spans="1:17" ht="12.75" customHeight="1">
      <c r="A35" s="43">
        <f>A34+1</f>
        <v>25</v>
      </c>
      <c r="B35" s="44" t="s">
        <v>88</v>
      </c>
      <c r="C35" s="200">
        <f t="shared" si="1"/>
        <v>16983620</v>
      </c>
      <c r="D35" s="200">
        <f t="shared" si="2"/>
        <v>14000000</v>
      </c>
      <c r="E35" s="200">
        <v>14000000</v>
      </c>
      <c r="F35" s="200"/>
      <c r="G35" s="200"/>
      <c r="H35" s="200"/>
      <c r="I35" s="465">
        <f>J35+K35+L35</f>
        <v>2983620</v>
      </c>
      <c r="J35" s="200">
        <v>2983620</v>
      </c>
      <c r="K35" s="200"/>
      <c r="L35" s="222"/>
      <c r="M35" s="200">
        <v>924440</v>
      </c>
      <c r="N35" s="222">
        <f t="shared" si="3"/>
        <v>17908060</v>
      </c>
      <c r="O35" s="200"/>
      <c r="P35" s="200"/>
      <c r="Q35" s="200">
        <f t="shared" si="4"/>
        <v>17908060</v>
      </c>
    </row>
    <row r="36" spans="1:17" ht="12.75" customHeight="1">
      <c r="A36" s="43">
        <f>A35+1</f>
        <v>26</v>
      </c>
      <c r="B36" s="44" t="s">
        <v>89</v>
      </c>
      <c r="C36" s="200">
        <f t="shared" si="1"/>
        <v>41546770</v>
      </c>
      <c r="D36" s="200">
        <f t="shared" si="2"/>
        <v>18619116</v>
      </c>
      <c r="E36" s="200">
        <v>16640000</v>
      </c>
      <c r="F36" s="200">
        <v>1860000</v>
      </c>
      <c r="G36" s="200"/>
      <c r="H36" s="200">
        <v>119116</v>
      </c>
      <c r="I36" s="465">
        <f>J36+K36+L36</f>
        <v>22927654</v>
      </c>
      <c r="J36" s="200">
        <v>22897200</v>
      </c>
      <c r="K36" s="200">
        <v>30454</v>
      </c>
      <c r="L36" s="222"/>
      <c r="M36" s="200">
        <v>1413830</v>
      </c>
      <c r="N36" s="222">
        <f t="shared" si="3"/>
        <v>42960600</v>
      </c>
      <c r="O36" s="200"/>
      <c r="P36" s="200"/>
      <c r="Q36" s="200">
        <f t="shared" si="4"/>
        <v>42960600</v>
      </c>
    </row>
    <row r="37" spans="1:17" ht="12.75" customHeight="1">
      <c r="A37" s="220">
        <f>A36+1</f>
        <v>27</v>
      </c>
      <c r="B37" s="44" t="s">
        <v>90</v>
      </c>
      <c r="C37" s="200">
        <f t="shared" si="1"/>
        <v>63894146</v>
      </c>
      <c r="D37" s="200">
        <f t="shared" si="2"/>
        <v>40444375</v>
      </c>
      <c r="E37" s="200">
        <v>40300000</v>
      </c>
      <c r="F37" s="200"/>
      <c r="G37" s="200"/>
      <c r="H37" s="200">
        <v>144375</v>
      </c>
      <c r="I37" s="465">
        <f>J37+K37+L37</f>
        <v>23449771</v>
      </c>
      <c r="J37" s="200">
        <v>23075559</v>
      </c>
      <c r="K37" s="200">
        <v>374212</v>
      </c>
      <c r="L37" s="222"/>
      <c r="M37" s="200"/>
      <c r="N37" s="222">
        <f t="shared" si="3"/>
        <v>63894146</v>
      </c>
      <c r="O37" s="200"/>
      <c r="P37" s="200"/>
      <c r="Q37" s="200">
        <f t="shared" si="4"/>
        <v>63894146</v>
      </c>
    </row>
    <row r="38" spans="1:17" ht="12.75" customHeight="1">
      <c r="A38" s="43">
        <f>A37+1</f>
        <v>28</v>
      </c>
      <c r="B38" s="209" t="s">
        <v>91</v>
      </c>
      <c r="C38" s="210">
        <f t="shared" si="1"/>
        <v>170959063</v>
      </c>
      <c r="D38" s="210">
        <f t="shared" si="2"/>
        <v>113046748</v>
      </c>
      <c r="E38" s="210">
        <v>107737228</v>
      </c>
      <c r="F38" s="210">
        <v>4962772</v>
      </c>
      <c r="G38" s="210"/>
      <c r="H38" s="210">
        <v>346748</v>
      </c>
      <c r="I38" s="466">
        <f>J38+K38+L38</f>
        <v>57912315</v>
      </c>
      <c r="J38" s="210">
        <v>56644199</v>
      </c>
      <c r="K38" s="210">
        <v>490347</v>
      </c>
      <c r="L38" s="238">
        <v>777769</v>
      </c>
      <c r="M38" s="210"/>
      <c r="N38" s="238">
        <f t="shared" si="3"/>
        <v>170959063</v>
      </c>
      <c r="O38" s="210"/>
      <c r="P38" s="210">
        <v>10732000</v>
      </c>
      <c r="Q38" s="210">
        <f t="shared" si="4"/>
        <v>181691063</v>
      </c>
    </row>
    <row r="39" spans="1:17" s="219" customFormat="1" ht="12.75" customHeight="1">
      <c r="A39" s="213" t="s">
        <v>118</v>
      </c>
      <c r="B39" s="214" t="s">
        <v>66</v>
      </c>
      <c r="C39" s="215">
        <f aca="true" t="shared" si="13" ref="C39:Q39">SUM(C40:C41)</f>
        <v>27115371</v>
      </c>
      <c r="D39" s="215">
        <f t="shared" si="13"/>
        <v>26776921</v>
      </c>
      <c r="E39" s="215">
        <f t="shared" si="13"/>
        <v>21919155</v>
      </c>
      <c r="F39" s="215">
        <f t="shared" si="13"/>
        <v>4840845</v>
      </c>
      <c r="G39" s="215">
        <f t="shared" si="13"/>
        <v>0</v>
      </c>
      <c r="H39" s="215">
        <f t="shared" si="13"/>
        <v>16921</v>
      </c>
      <c r="I39" s="215">
        <f t="shared" si="13"/>
        <v>338450</v>
      </c>
      <c r="J39" s="215">
        <f t="shared" si="13"/>
        <v>192236</v>
      </c>
      <c r="K39" s="215">
        <f t="shared" si="13"/>
        <v>146214</v>
      </c>
      <c r="L39" s="463">
        <f t="shared" si="13"/>
        <v>0</v>
      </c>
      <c r="M39" s="215">
        <f t="shared" si="13"/>
        <v>105614</v>
      </c>
      <c r="N39" s="215">
        <f t="shared" si="13"/>
        <v>27220985</v>
      </c>
      <c r="O39" s="215">
        <f t="shared" si="13"/>
        <v>0</v>
      </c>
      <c r="P39" s="215">
        <f t="shared" si="13"/>
        <v>2064000</v>
      </c>
      <c r="Q39" s="215">
        <f t="shared" si="13"/>
        <v>29284985</v>
      </c>
    </row>
    <row r="40" spans="1:17" ht="12.75" customHeight="1">
      <c r="A40" s="220">
        <v>29</v>
      </c>
      <c r="B40" s="221" t="s">
        <v>92</v>
      </c>
      <c r="C40" s="222">
        <f t="shared" si="1"/>
        <v>9115371</v>
      </c>
      <c r="D40" s="222">
        <f t="shared" si="2"/>
        <v>8776921</v>
      </c>
      <c r="E40" s="222">
        <v>7574184</v>
      </c>
      <c r="F40" s="222">
        <v>1185816</v>
      </c>
      <c r="G40" s="222"/>
      <c r="H40" s="222">
        <v>16921</v>
      </c>
      <c r="I40" s="222">
        <f>J40+K40+L40</f>
        <v>338450</v>
      </c>
      <c r="J40" s="222">
        <v>192236</v>
      </c>
      <c r="K40" s="222">
        <v>146214</v>
      </c>
      <c r="L40" s="222"/>
      <c r="M40" s="222">
        <v>105614</v>
      </c>
      <c r="N40" s="222">
        <f t="shared" si="3"/>
        <v>9220985</v>
      </c>
      <c r="O40" s="222"/>
      <c r="P40" s="222">
        <v>2064000</v>
      </c>
      <c r="Q40" s="222">
        <f t="shared" si="4"/>
        <v>11284985</v>
      </c>
    </row>
    <row r="41" spans="1:17" ht="12.75" customHeight="1">
      <c r="A41" s="43">
        <v>30</v>
      </c>
      <c r="B41" s="44" t="s">
        <v>93</v>
      </c>
      <c r="C41" s="200">
        <f t="shared" si="1"/>
        <v>18000000</v>
      </c>
      <c r="D41" s="200">
        <f t="shared" si="2"/>
        <v>18000000</v>
      </c>
      <c r="E41" s="200">
        <v>14344971</v>
      </c>
      <c r="F41" s="200">
        <v>3655029</v>
      </c>
      <c r="G41" s="200"/>
      <c r="H41" s="200"/>
      <c r="I41" s="200">
        <f>J41+K41+L41</f>
        <v>0</v>
      </c>
      <c r="J41" s="200"/>
      <c r="K41" s="200"/>
      <c r="L41" s="222"/>
      <c r="M41" s="200"/>
      <c r="N41" s="222">
        <f t="shared" si="3"/>
        <v>18000000</v>
      </c>
      <c r="O41" s="200"/>
      <c r="P41" s="200"/>
      <c r="Q41" s="200">
        <f t="shared" si="4"/>
        <v>18000000</v>
      </c>
    </row>
    <row r="42" spans="1:17" s="219" customFormat="1" ht="12.75" customHeight="1">
      <c r="A42" s="837" t="s">
        <v>400</v>
      </c>
      <c r="B42" s="838"/>
      <c r="C42" s="215">
        <f>C6+C11+C19+C25+C33+C39</f>
        <v>1018002933</v>
      </c>
      <c r="D42" s="215">
        <f>D6+D11+D19+D25+D33+D39</f>
        <v>771886055</v>
      </c>
      <c r="E42" s="215">
        <f aca="true" t="shared" si="14" ref="E42:Q42">E6+E11+E19+E25+E33+E39</f>
        <v>757560726</v>
      </c>
      <c r="F42" s="215">
        <f t="shared" si="14"/>
        <v>12483885</v>
      </c>
      <c r="G42" s="215">
        <f t="shared" si="14"/>
        <v>0</v>
      </c>
      <c r="H42" s="215">
        <f t="shared" si="14"/>
        <v>1841444</v>
      </c>
      <c r="I42" s="215">
        <f t="shared" si="14"/>
        <v>246116878</v>
      </c>
      <c r="J42" s="215">
        <f>J6+J11+J19+J25+J33+J39</f>
        <v>237078301</v>
      </c>
      <c r="K42" s="215">
        <f t="shared" si="14"/>
        <v>7803045</v>
      </c>
      <c r="L42" s="215">
        <f t="shared" si="14"/>
        <v>1235532</v>
      </c>
      <c r="M42" s="215">
        <f t="shared" si="14"/>
        <v>27374044</v>
      </c>
      <c r="N42" s="215">
        <f t="shared" si="14"/>
        <v>1045376977</v>
      </c>
      <c r="O42" s="215">
        <f t="shared" si="14"/>
        <v>8175200</v>
      </c>
      <c r="P42" s="215">
        <f t="shared" si="14"/>
        <v>22796094</v>
      </c>
      <c r="Q42" s="215">
        <f t="shared" si="14"/>
        <v>1076348271</v>
      </c>
    </row>
    <row r="43" spans="1:17" s="233" customFormat="1" ht="33" customHeight="1">
      <c r="A43" s="219" t="s">
        <v>196</v>
      </c>
      <c r="B43" s="462" t="s">
        <v>410</v>
      </c>
      <c r="C43" s="268">
        <f>850272698-D42+H42</f>
        <v>80228087</v>
      </c>
      <c r="D43" s="219"/>
      <c r="E43" s="219"/>
      <c r="F43" s="268"/>
      <c r="G43" s="268"/>
      <c r="H43" s="268"/>
      <c r="I43" s="268"/>
      <c r="J43" s="268">
        <f>J42+K42+L42</f>
        <v>246116878</v>
      </c>
      <c r="K43" s="268"/>
      <c r="L43" s="219"/>
      <c r="M43" s="215"/>
      <c r="N43" s="215"/>
      <c r="O43" s="215"/>
      <c r="P43" s="215"/>
      <c r="Q43" s="215"/>
    </row>
    <row r="44" spans="1:17" ht="15.75" customHeight="1">
      <c r="A44" s="835" t="s">
        <v>464</v>
      </c>
      <c r="B44" s="836"/>
      <c r="C44" s="450">
        <f>C42+C43</f>
        <v>1098231020</v>
      </c>
      <c r="D44" s="839" t="s">
        <v>463</v>
      </c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1"/>
    </row>
    <row r="45" spans="3:17" ht="18" customHeight="1">
      <c r="C45" s="459"/>
      <c r="E45" s="459">
        <f>D42+C43-H42+I42</f>
        <v>1096389576</v>
      </c>
      <c r="F45" s="459"/>
      <c r="M45" s="464"/>
      <c r="N45" s="464"/>
      <c r="O45" s="464"/>
      <c r="P45" s="464"/>
      <c r="Q45" s="464"/>
    </row>
    <row r="46" spans="4:17" ht="18" customHeight="1">
      <c r="D46" s="198">
        <v>850272698</v>
      </c>
      <c r="M46" s="464"/>
      <c r="N46" s="464"/>
      <c r="O46" s="464"/>
      <c r="P46" s="464"/>
      <c r="Q46" s="464"/>
    </row>
    <row r="47" ht="18" customHeight="1">
      <c r="D47" s="459">
        <f>D46+I42</f>
        <v>1096389576</v>
      </c>
    </row>
  </sheetData>
  <sheetProtection/>
  <mergeCells count="15">
    <mergeCell ref="O1:Q1"/>
    <mergeCell ref="P2:P4"/>
    <mergeCell ref="Q2:Q4"/>
    <mergeCell ref="C3:C4"/>
    <mergeCell ref="D3:H3"/>
    <mergeCell ref="I3:L3"/>
    <mergeCell ref="O2:O4"/>
    <mergeCell ref="A2:A4"/>
    <mergeCell ref="B2:B4"/>
    <mergeCell ref="C2:L2"/>
    <mergeCell ref="M2:M4"/>
    <mergeCell ref="N2:N4"/>
    <mergeCell ref="A44:B44"/>
    <mergeCell ref="A42:B42"/>
    <mergeCell ref="D44:Q44"/>
  </mergeCells>
  <printOptions horizontalCentered="1"/>
  <pageMargins left="0.2" right="0.2" top="0.6" bottom="0.15" header="0.3" footer="0.3"/>
  <pageSetup horizontalDpi="600" verticalDpi="600" orientation="landscape" r:id="rId3"/>
  <headerFooter>
    <oddHeader>&amp;CP&amp;"Time new roman,Bold"&amp;10hụ biểu 07. Kết quả huy động các nguồn thu của QBV&amp;PTR trên toàn quốc năm 2013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0">
      <selection activeCell="J15" sqref="J15"/>
    </sheetView>
  </sheetViews>
  <sheetFormatPr defaultColWidth="9.140625" defaultRowHeight="35.25" customHeight="1"/>
  <cols>
    <col min="1" max="1" width="4.140625" style="198" customWidth="1"/>
    <col min="2" max="2" width="15.57421875" style="198" customWidth="1"/>
    <col min="3" max="3" width="11.421875" style="198" customWidth="1"/>
    <col min="4" max="4" width="12.28125" style="198" customWidth="1"/>
    <col min="5" max="5" width="11.140625" style="198" customWidth="1"/>
    <col min="6" max="6" width="10.28125" style="198" customWidth="1"/>
    <col min="7" max="7" width="5.8515625" style="198" customWidth="1"/>
    <col min="8" max="8" width="10.57421875" style="198" customWidth="1"/>
    <col min="9" max="9" width="12.7109375" style="198" customWidth="1"/>
    <col min="10" max="10" width="13.140625" style="198" customWidth="1"/>
    <col min="11" max="11" width="10.28125" style="198" customWidth="1"/>
    <col min="12" max="12" width="8.28125" style="198" customWidth="1"/>
    <col min="13" max="13" width="8.57421875" style="198" customWidth="1"/>
    <col min="14" max="14" width="12.28125" style="198" customWidth="1"/>
    <col min="15" max="16" width="10.28125" style="198" customWidth="1"/>
    <col min="17" max="18" width="12.00390625" style="198" customWidth="1"/>
    <col min="19" max="236" width="9.140625" style="198" customWidth="1"/>
    <col min="237" max="237" width="4.8515625" style="198" customWidth="1"/>
    <col min="238" max="238" width="11.7109375" style="198" customWidth="1"/>
    <col min="239" max="239" width="11.421875" style="198" customWidth="1"/>
    <col min="240" max="240" width="12.7109375" style="198" customWidth="1"/>
    <col min="241" max="241" width="9.57421875" style="198" customWidth="1"/>
    <col min="242" max="243" width="10.140625" style="198" customWidth="1"/>
    <col min="244" max="244" width="10.57421875" style="198" customWidth="1"/>
    <col min="245" max="245" width="7.7109375" style="198" customWidth="1"/>
    <col min="246" max="246" width="9.140625" style="198" customWidth="1"/>
    <col min="247" max="247" width="7.8515625" style="198" customWidth="1"/>
    <col min="248" max="248" width="9.00390625" style="198" customWidth="1"/>
    <col min="249" max="249" width="9.28125" style="198" customWidth="1"/>
    <col min="250" max="250" width="8.140625" style="198" customWidth="1"/>
    <col min="251" max="16384" width="9.140625" style="198" customWidth="1"/>
  </cols>
  <sheetData>
    <row r="1" spans="15:17" ht="7.5" customHeight="1">
      <c r="O1" s="828" t="s">
        <v>416</v>
      </c>
      <c r="P1" s="828"/>
      <c r="Q1" s="828"/>
    </row>
    <row r="2" spans="1:17" s="233" customFormat="1" ht="12" customHeight="1">
      <c r="A2" s="832" t="s">
        <v>0</v>
      </c>
      <c r="B2" s="832" t="s">
        <v>131</v>
      </c>
      <c r="C2" s="820" t="s">
        <v>278</v>
      </c>
      <c r="D2" s="820"/>
      <c r="E2" s="820"/>
      <c r="F2" s="820"/>
      <c r="G2" s="820"/>
      <c r="H2" s="820"/>
      <c r="I2" s="820"/>
      <c r="J2" s="820"/>
      <c r="K2" s="820"/>
      <c r="L2" s="820"/>
      <c r="M2" s="820" t="s">
        <v>286</v>
      </c>
      <c r="N2" s="821" t="s">
        <v>285</v>
      </c>
      <c r="O2" s="820" t="s">
        <v>12</v>
      </c>
      <c r="P2" s="820" t="s">
        <v>282</v>
      </c>
      <c r="Q2" s="820" t="s">
        <v>279</v>
      </c>
    </row>
    <row r="3" spans="1:17" s="233" customFormat="1" ht="14.25" customHeight="1">
      <c r="A3" s="832"/>
      <c r="B3" s="832"/>
      <c r="C3" s="820" t="s">
        <v>11</v>
      </c>
      <c r="D3" s="820" t="s">
        <v>276</v>
      </c>
      <c r="E3" s="820"/>
      <c r="F3" s="820"/>
      <c r="G3" s="820"/>
      <c r="H3" s="820"/>
      <c r="I3" s="820" t="s">
        <v>52</v>
      </c>
      <c r="J3" s="820"/>
      <c r="K3" s="820"/>
      <c r="L3" s="820"/>
      <c r="M3" s="820"/>
      <c r="N3" s="822"/>
      <c r="O3" s="820"/>
      <c r="P3" s="820"/>
      <c r="Q3" s="820"/>
    </row>
    <row r="4" spans="1:17" s="233" customFormat="1" ht="23.25" customHeight="1">
      <c r="A4" s="832"/>
      <c r="B4" s="832"/>
      <c r="C4" s="820"/>
      <c r="D4" s="454" t="s">
        <v>274</v>
      </c>
      <c r="E4" s="454" t="s">
        <v>94</v>
      </c>
      <c r="F4" s="454" t="s">
        <v>3</v>
      </c>
      <c r="G4" s="454" t="s">
        <v>4</v>
      </c>
      <c r="H4" s="454" t="s">
        <v>275</v>
      </c>
      <c r="I4" s="454" t="s">
        <v>277</v>
      </c>
      <c r="J4" s="454" t="s">
        <v>94</v>
      </c>
      <c r="K4" s="454" t="s">
        <v>3</v>
      </c>
      <c r="L4" s="454" t="s">
        <v>4</v>
      </c>
      <c r="M4" s="820"/>
      <c r="N4" s="822"/>
      <c r="O4" s="820"/>
      <c r="P4" s="820"/>
      <c r="Q4" s="820"/>
    </row>
    <row r="5" spans="1:37" s="191" customFormat="1" ht="11.25">
      <c r="A5" s="189" t="s">
        <v>9</v>
      </c>
      <c r="B5" s="189" t="s">
        <v>10</v>
      </c>
      <c r="C5" s="190" t="s">
        <v>291</v>
      </c>
      <c r="D5" s="190" t="s">
        <v>284</v>
      </c>
      <c r="E5" s="190" t="s">
        <v>101</v>
      </c>
      <c r="F5" s="190" t="s">
        <v>102</v>
      </c>
      <c r="G5" s="190" t="s">
        <v>103</v>
      </c>
      <c r="H5" s="190" t="s">
        <v>230</v>
      </c>
      <c r="I5" s="190" t="s">
        <v>289</v>
      </c>
      <c r="J5" s="190" t="s">
        <v>135</v>
      </c>
      <c r="K5" s="190" t="s">
        <v>231</v>
      </c>
      <c r="L5" s="190" t="s">
        <v>232</v>
      </c>
      <c r="M5" s="190" t="s">
        <v>280</v>
      </c>
      <c r="N5" s="190" t="s">
        <v>290</v>
      </c>
      <c r="O5" s="190" t="s">
        <v>281</v>
      </c>
      <c r="P5" s="190" t="s">
        <v>104</v>
      </c>
      <c r="Q5" s="190" t="s">
        <v>292</v>
      </c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</row>
    <row r="6" spans="1:37" s="219" customFormat="1" ht="12.75" customHeight="1">
      <c r="A6" s="455" t="s">
        <v>105</v>
      </c>
      <c r="B6" s="456" t="s">
        <v>61</v>
      </c>
      <c r="C6" s="268">
        <f>SUM(C7:C10)</f>
        <v>257453309</v>
      </c>
      <c r="D6" s="268">
        <f aca="true" t="shared" si="0" ref="D6:Q6">SUM(D7:D10)</f>
        <v>244700000</v>
      </c>
      <c r="E6" s="268">
        <f t="shared" si="0"/>
        <v>243809322</v>
      </c>
      <c r="F6" s="268">
        <f t="shared" si="0"/>
        <v>524685</v>
      </c>
      <c r="G6" s="268">
        <f t="shared" si="0"/>
        <v>0</v>
      </c>
      <c r="H6" s="268">
        <f t="shared" si="0"/>
        <v>365993</v>
      </c>
      <c r="I6" s="268">
        <f>SUM(I7:I10)</f>
        <v>12753309</v>
      </c>
      <c r="J6" s="268">
        <f t="shared" si="0"/>
        <v>12563579</v>
      </c>
      <c r="K6" s="268">
        <f t="shared" si="0"/>
        <v>189730</v>
      </c>
      <c r="L6" s="268">
        <f t="shared" si="0"/>
        <v>0</v>
      </c>
      <c r="M6" s="268">
        <f t="shared" si="0"/>
        <v>0</v>
      </c>
      <c r="N6" s="268">
        <f t="shared" si="0"/>
        <v>257453309</v>
      </c>
      <c r="O6" s="268">
        <f t="shared" si="0"/>
        <v>0</v>
      </c>
      <c r="P6" s="268">
        <f t="shared" si="0"/>
        <v>0</v>
      </c>
      <c r="Q6" s="268">
        <f t="shared" si="0"/>
        <v>257453309</v>
      </c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</row>
    <row r="7" spans="1:17" ht="12.75" customHeight="1">
      <c r="A7" s="220">
        <v>1</v>
      </c>
      <c r="B7" s="221" t="s">
        <v>68</v>
      </c>
      <c r="C7" s="222">
        <f>D7+I7</f>
        <v>17556730</v>
      </c>
      <c r="D7" s="222">
        <f>E7+F7+G7+H7</f>
        <v>17000000</v>
      </c>
      <c r="E7" s="222">
        <v>17000000</v>
      </c>
      <c r="F7" s="222"/>
      <c r="G7" s="222"/>
      <c r="H7" s="204"/>
      <c r="I7" s="222">
        <f>J7+K7+L7</f>
        <v>556730</v>
      </c>
      <c r="J7" s="222">
        <v>367000</v>
      </c>
      <c r="K7" s="222">
        <v>189730</v>
      </c>
      <c r="L7" s="457"/>
      <c r="M7" s="222"/>
      <c r="N7" s="458">
        <f>C7+M7</f>
        <v>17556730</v>
      </c>
      <c r="O7" s="222"/>
      <c r="P7" s="222"/>
      <c r="Q7" s="222">
        <f>N7+O7+P7</f>
        <v>17556730</v>
      </c>
    </row>
    <row r="8" spans="1:17" ht="12.75" customHeight="1">
      <c r="A8" s="43">
        <f>A7+1</f>
        <v>2</v>
      </c>
      <c r="B8" s="44" t="s">
        <v>106</v>
      </c>
      <c r="C8" s="200">
        <f aca="true" t="shared" si="1" ref="C8:C41">D8+I8</f>
        <v>95832791</v>
      </c>
      <c r="D8" s="200">
        <f aca="true" t="shared" si="2" ref="D8:D41">E8+F8+G8+H8</f>
        <v>85200000</v>
      </c>
      <c r="E8" s="200">
        <v>84675315</v>
      </c>
      <c r="F8" s="200">
        <v>524685</v>
      </c>
      <c r="G8" s="200"/>
      <c r="H8" s="204"/>
      <c r="I8" s="200">
        <f>J8+K8+L8</f>
        <v>10632791</v>
      </c>
      <c r="J8" s="200">
        <v>10632791</v>
      </c>
      <c r="K8" s="200"/>
      <c r="L8" s="259"/>
      <c r="M8" s="200"/>
      <c r="N8" s="222">
        <f aca="true" t="shared" si="3" ref="N8:N41">C8+M8</f>
        <v>95832791</v>
      </c>
      <c r="O8" s="200"/>
      <c r="P8" s="200"/>
      <c r="Q8" s="200">
        <f>N8+O8+P8</f>
        <v>95832791</v>
      </c>
    </row>
    <row r="9" spans="1:17" s="207" customFormat="1" ht="12.75" customHeight="1">
      <c r="A9" s="43">
        <f>A8+1</f>
        <v>3</v>
      </c>
      <c r="B9" s="44" t="s">
        <v>67</v>
      </c>
      <c r="C9" s="204">
        <f t="shared" si="1"/>
        <v>141313788</v>
      </c>
      <c r="D9" s="204">
        <f t="shared" si="2"/>
        <v>140000000</v>
      </c>
      <c r="E9" s="204">
        <v>139634007</v>
      </c>
      <c r="F9" s="204"/>
      <c r="G9" s="204"/>
      <c r="H9" s="204">
        <v>365993</v>
      </c>
      <c r="I9" s="204">
        <f aca="true" t="shared" si="4" ref="I9:I41">J9+K9+L9</f>
        <v>1313788</v>
      </c>
      <c r="J9" s="204">
        <v>1313788</v>
      </c>
      <c r="K9" s="204"/>
      <c r="L9" s="262"/>
      <c r="M9" s="204"/>
      <c r="N9" s="222">
        <f t="shared" si="3"/>
        <v>141313788</v>
      </c>
      <c r="O9" s="204"/>
      <c r="P9" s="204"/>
      <c r="Q9" s="204">
        <f aca="true" t="shared" si="5" ref="Q9:Q41">N9+O9+P9</f>
        <v>141313788</v>
      </c>
    </row>
    <row r="10" spans="1:17" ht="12.75" customHeight="1">
      <c r="A10" s="208">
        <f>A9+1</f>
        <v>4</v>
      </c>
      <c r="B10" s="209" t="s">
        <v>70</v>
      </c>
      <c r="C10" s="460">
        <f t="shared" si="1"/>
        <v>2750000</v>
      </c>
      <c r="D10" s="210">
        <f t="shared" si="2"/>
        <v>2500000</v>
      </c>
      <c r="E10" s="210">
        <v>2500000</v>
      </c>
      <c r="F10" s="210"/>
      <c r="G10" s="210"/>
      <c r="H10" s="460"/>
      <c r="I10" s="210">
        <f t="shared" si="4"/>
        <v>250000</v>
      </c>
      <c r="J10" s="210">
        <v>250000</v>
      </c>
      <c r="K10" s="210"/>
      <c r="L10" s="461"/>
      <c r="M10" s="210"/>
      <c r="N10" s="238">
        <f t="shared" si="3"/>
        <v>2750000</v>
      </c>
      <c r="O10" s="461"/>
      <c r="P10" s="461"/>
      <c r="Q10" s="210">
        <f t="shared" si="5"/>
        <v>2750000</v>
      </c>
    </row>
    <row r="11" spans="1:37" s="219" customFormat="1" ht="12.75" customHeight="1">
      <c r="A11" s="213" t="s">
        <v>107</v>
      </c>
      <c r="B11" s="214" t="s">
        <v>62</v>
      </c>
      <c r="C11" s="215">
        <f>SUM(C12:C18)</f>
        <v>42705608</v>
      </c>
      <c r="D11" s="215">
        <f aca="true" t="shared" si="6" ref="D11:Q11">SUM(D12:D18)</f>
        <v>24400000</v>
      </c>
      <c r="E11" s="215">
        <f t="shared" si="6"/>
        <v>24375664</v>
      </c>
      <c r="F11" s="215">
        <f t="shared" si="6"/>
        <v>0</v>
      </c>
      <c r="G11" s="215">
        <f t="shared" si="6"/>
        <v>0</v>
      </c>
      <c r="H11" s="474">
        <f t="shared" si="6"/>
        <v>24336</v>
      </c>
      <c r="I11" s="215">
        <f>SUM(I12:I18)</f>
        <v>18305608</v>
      </c>
      <c r="J11" s="215">
        <f t="shared" si="6"/>
        <v>17778052</v>
      </c>
      <c r="K11" s="215">
        <f t="shared" si="6"/>
        <v>432924</v>
      </c>
      <c r="L11" s="215">
        <f t="shared" si="6"/>
        <v>94632</v>
      </c>
      <c r="M11" s="215">
        <f t="shared" si="6"/>
        <v>0</v>
      </c>
      <c r="N11" s="463">
        <f t="shared" si="6"/>
        <v>42705608</v>
      </c>
      <c r="O11" s="215">
        <f t="shared" si="6"/>
        <v>0</v>
      </c>
      <c r="P11" s="215">
        <f t="shared" si="6"/>
        <v>0</v>
      </c>
      <c r="Q11" s="215">
        <f t="shared" si="6"/>
        <v>42705608</v>
      </c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</row>
    <row r="12" spans="1:17" ht="12.75" customHeight="1">
      <c r="A12" s="220">
        <v>5</v>
      </c>
      <c r="B12" s="221" t="s">
        <v>71</v>
      </c>
      <c r="C12" s="222">
        <f t="shared" si="1"/>
        <v>7855975</v>
      </c>
      <c r="D12" s="222">
        <f t="shared" si="2"/>
        <v>6200000</v>
      </c>
      <c r="E12" s="222">
        <v>6200000</v>
      </c>
      <c r="F12" s="222"/>
      <c r="G12" s="222"/>
      <c r="H12" s="472"/>
      <c r="I12" s="222">
        <f t="shared" si="4"/>
        <v>1655975</v>
      </c>
      <c r="J12" s="222">
        <v>1627608</v>
      </c>
      <c r="K12" s="222">
        <v>28367</v>
      </c>
      <c r="L12" s="457"/>
      <c r="M12" s="222"/>
      <c r="N12" s="222">
        <f t="shared" si="3"/>
        <v>7855975</v>
      </c>
      <c r="O12" s="222"/>
      <c r="P12" s="222"/>
      <c r="Q12" s="222">
        <f t="shared" si="5"/>
        <v>7855975</v>
      </c>
    </row>
    <row r="13" spans="1:17" ht="12.75" customHeight="1">
      <c r="A13" s="43">
        <f aca="true" t="shared" si="7" ref="A13:A18">A12+1</f>
        <v>6</v>
      </c>
      <c r="B13" s="44" t="s">
        <v>72</v>
      </c>
      <c r="C13" s="200">
        <f t="shared" si="1"/>
        <v>15974587</v>
      </c>
      <c r="D13" s="200">
        <f t="shared" si="2"/>
        <v>3600000</v>
      </c>
      <c r="E13" s="200">
        <v>3600000</v>
      </c>
      <c r="F13" s="200"/>
      <c r="G13" s="200"/>
      <c r="H13" s="204"/>
      <c r="I13" s="200">
        <f t="shared" si="4"/>
        <v>12374587</v>
      </c>
      <c r="J13" s="200">
        <v>11952054</v>
      </c>
      <c r="K13" s="200">
        <v>327901</v>
      </c>
      <c r="L13" s="200">
        <v>94632</v>
      </c>
      <c r="M13" s="200"/>
      <c r="N13" s="222">
        <f t="shared" si="3"/>
        <v>15974587</v>
      </c>
      <c r="O13" s="200"/>
      <c r="P13" s="200"/>
      <c r="Q13" s="200">
        <f t="shared" si="5"/>
        <v>15974587</v>
      </c>
    </row>
    <row r="14" spans="1:17" ht="12.75" customHeight="1">
      <c r="A14" s="43">
        <f t="shared" si="7"/>
        <v>7</v>
      </c>
      <c r="B14" s="44" t="s">
        <v>108</v>
      </c>
      <c r="C14" s="200">
        <f t="shared" si="1"/>
        <v>9000000</v>
      </c>
      <c r="D14" s="200">
        <f t="shared" si="2"/>
        <v>9000000</v>
      </c>
      <c r="E14" s="200">
        <v>8975664</v>
      </c>
      <c r="F14" s="200"/>
      <c r="G14" s="200"/>
      <c r="H14" s="204">
        <v>24336</v>
      </c>
      <c r="I14" s="200">
        <f t="shared" si="4"/>
        <v>0</v>
      </c>
      <c r="J14" s="200"/>
      <c r="K14" s="200"/>
      <c r="L14" s="200"/>
      <c r="M14" s="200"/>
      <c r="N14" s="222">
        <f t="shared" si="3"/>
        <v>9000000</v>
      </c>
      <c r="O14" s="200"/>
      <c r="P14" s="200"/>
      <c r="Q14" s="200">
        <f t="shared" si="5"/>
        <v>9000000</v>
      </c>
    </row>
    <row r="15" spans="1:17" ht="12.75" customHeight="1">
      <c r="A15" s="220">
        <f t="shared" si="7"/>
        <v>8</v>
      </c>
      <c r="B15" s="44" t="s">
        <v>73</v>
      </c>
      <c r="C15" s="200">
        <f t="shared" si="1"/>
        <v>7463046</v>
      </c>
      <c r="D15" s="200">
        <f t="shared" si="2"/>
        <v>3500000</v>
      </c>
      <c r="E15" s="200">
        <v>3500000</v>
      </c>
      <c r="F15" s="200"/>
      <c r="G15" s="200"/>
      <c r="H15" s="204"/>
      <c r="I15" s="200">
        <f t="shared" si="4"/>
        <v>3963046</v>
      </c>
      <c r="J15" s="200">
        <v>3886390</v>
      </c>
      <c r="K15" s="200">
        <v>76656</v>
      </c>
      <c r="L15" s="259"/>
      <c r="M15" s="200"/>
      <c r="N15" s="222">
        <f t="shared" si="3"/>
        <v>7463046</v>
      </c>
      <c r="O15" s="200"/>
      <c r="P15" s="200"/>
      <c r="Q15" s="200">
        <f t="shared" si="5"/>
        <v>7463046</v>
      </c>
    </row>
    <row r="16" spans="1:17" ht="12.75" customHeight="1">
      <c r="A16" s="43">
        <f t="shared" si="7"/>
        <v>9</v>
      </c>
      <c r="B16" s="44" t="s">
        <v>75</v>
      </c>
      <c r="C16" s="200">
        <f t="shared" si="1"/>
        <v>1312000</v>
      </c>
      <c r="D16" s="200">
        <f t="shared" si="2"/>
        <v>1000000</v>
      </c>
      <c r="E16" s="200">
        <v>1000000</v>
      </c>
      <c r="F16" s="200"/>
      <c r="G16" s="200"/>
      <c r="H16" s="204"/>
      <c r="I16" s="200">
        <f t="shared" si="4"/>
        <v>312000</v>
      </c>
      <c r="J16" s="200">
        <v>312000</v>
      </c>
      <c r="K16" s="200"/>
      <c r="L16" s="259"/>
      <c r="M16" s="200"/>
      <c r="N16" s="222">
        <f t="shared" si="3"/>
        <v>1312000</v>
      </c>
      <c r="O16" s="200"/>
      <c r="P16" s="200"/>
      <c r="Q16" s="200">
        <f t="shared" si="5"/>
        <v>1312000</v>
      </c>
    </row>
    <row r="17" spans="1:17" ht="12.75" customHeight="1">
      <c r="A17" s="43">
        <f t="shared" si="7"/>
        <v>10</v>
      </c>
      <c r="B17" s="44" t="s">
        <v>109</v>
      </c>
      <c r="C17" s="200">
        <f t="shared" si="1"/>
        <v>1100000</v>
      </c>
      <c r="D17" s="200">
        <f t="shared" si="2"/>
        <v>1100000</v>
      </c>
      <c r="E17" s="200">
        <v>1100000</v>
      </c>
      <c r="F17" s="200"/>
      <c r="G17" s="200"/>
      <c r="H17" s="204"/>
      <c r="I17" s="200">
        <f t="shared" si="4"/>
        <v>0</v>
      </c>
      <c r="J17" s="200"/>
      <c r="K17" s="200"/>
      <c r="L17" s="259"/>
      <c r="M17" s="200"/>
      <c r="N17" s="222">
        <f t="shared" si="3"/>
        <v>1100000</v>
      </c>
      <c r="O17" s="200"/>
      <c r="P17" s="200"/>
      <c r="Q17" s="200">
        <f t="shared" si="5"/>
        <v>1100000</v>
      </c>
    </row>
    <row r="18" spans="1:17" ht="12.75" customHeight="1">
      <c r="A18" s="220">
        <f t="shared" si="7"/>
        <v>11</v>
      </c>
      <c r="B18" s="209" t="s">
        <v>77</v>
      </c>
      <c r="C18" s="210">
        <f t="shared" si="1"/>
        <v>0</v>
      </c>
      <c r="D18" s="210">
        <f t="shared" si="2"/>
        <v>0</v>
      </c>
      <c r="E18" s="210"/>
      <c r="F18" s="210"/>
      <c r="G18" s="210"/>
      <c r="H18" s="460"/>
      <c r="I18" s="210">
        <f t="shared" si="4"/>
        <v>0</v>
      </c>
      <c r="J18" s="210"/>
      <c r="K18" s="210"/>
      <c r="L18" s="461"/>
      <c r="M18" s="210"/>
      <c r="N18" s="238">
        <f t="shared" si="3"/>
        <v>0</v>
      </c>
      <c r="O18" s="210"/>
      <c r="P18" s="210"/>
      <c r="Q18" s="210">
        <f t="shared" si="5"/>
        <v>0</v>
      </c>
    </row>
    <row r="19" spans="1:37" s="219" customFormat="1" ht="12.75" customHeight="1">
      <c r="A19" s="213" t="s">
        <v>110</v>
      </c>
      <c r="B19" s="214" t="s">
        <v>63</v>
      </c>
      <c r="C19" s="215">
        <f>SUM(C20:C24)</f>
        <v>34096469</v>
      </c>
      <c r="D19" s="215">
        <f aca="true" t="shared" si="8" ref="D19:Q19">SUM(D20:D24)</f>
        <v>9000000</v>
      </c>
      <c r="E19" s="215">
        <f t="shared" si="8"/>
        <v>8994728</v>
      </c>
      <c r="F19" s="215">
        <f t="shared" si="8"/>
        <v>0</v>
      </c>
      <c r="G19" s="215">
        <f t="shared" si="8"/>
        <v>0</v>
      </c>
      <c r="H19" s="215">
        <f t="shared" si="8"/>
        <v>5272</v>
      </c>
      <c r="I19" s="215">
        <f>SUM(I20:I24)</f>
        <v>25096469</v>
      </c>
      <c r="J19" s="215">
        <f t="shared" si="8"/>
        <v>22953605</v>
      </c>
      <c r="K19" s="215">
        <f t="shared" si="8"/>
        <v>2127464</v>
      </c>
      <c r="L19" s="215">
        <f t="shared" si="8"/>
        <v>15400</v>
      </c>
      <c r="M19" s="215">
        <f t="shared" si="8"/>
        <v>327129</v>
      </c>
      <c r="N19" s="215">
        <f t="shared" si="8"/>
        <v>34423598</v>
      </c>
      <c r="O19" s="215">
        <f t="shared" si="8"/>
        <v>0</v>
      </c>
      <c r="P19" s="215">
        <f t="shared" si="8"/>
        <v>5867283</v>
      </c>
      <c r="Q19" s="215">
        <f t="shared" si="8"/>
        <v>40290881</v>
      </c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</row>
    <row r="20" spans="1:17" ht="12.75" customHeight="1">
      <c r="A20" s="468">
        <v>12</v>
      </c>
      <c r="B20" s="221" t="s">
        <v>78</v>
      </c>
      <c r="C20" s="222">
        <f t="shared" si="1"/>
        <v>4535670</v>
      </c>
      <c r="D20" s="222">
        <f t="shared" si="2"/>
        <v>4000000</v>
      </c>
      <c r="E20" s="222">
        <v>4000000</v>
      </c>
      <c r="F20" s="222"/>
      <c r="G20" s="222"/>
      <c r="H20" s="472"/>
      <c r="I20" s="222">
        <f t="shared" si="4"/>
        <v>535670</v>
      </c>
      <c r="J20" s="222">
        <v>150670</v>
      </c>
      <c r="K20" s="222">
        <v>374000</v>
      </c>
      <c r="L20" s="222">
        <v>11000</v>
      </c>
      <c r="M20" s="222"/>
      <c r="N20" s="222">
        <f t="shared" si="3"/>
        <v>4535670</v>
      </c>
      <c r="O20" s="222"/>
      <c r="P20" s="222"/>
      <c r="Q20" s="222">
        <f t="shared" si="5"/>
        <v>4535670</v>
      </c>
    </row>
    <row r="21" spans="1:17" ht="12.75" customHeight="1">
      <c r="A21" s="468">
        <v>13</v>
      </c>
      <c r="B21" s="44" t="s">
        <v>79</v>
      </c>
      <c r="C21" s="200">
        <f t="shared" si="1"/>
        <v>18047680</v>
      </c>
      <c r="D21" s="200">
        <f t="shared" si="2"/>
        <v>5000000</v>
      </c>
      <c r="E21" s="200">
        <v>4994728</v>
      </c>
      <c r="F21" s="200"/>
      <c r="G21" s="200"/>
      <c r="H21" s="204">
        <v>5272</v>
      </c>
      <c r="I21" s="200">
        <f t="shared" si="4"/>
        <v>13047680</v>
      </c>
      <c r="J21" s="200">
        <v>13020995</v>
      </c>
      <c r="K21" s="200">
        <v>26685</v>
      </c>
      <c r="L21" s="200"/>
      <c r="M21" s="200"/>
      <c r="N21" s="222">
        <f t="shared" si="3"/>
        <v>18047680</v>
      </c>
      <c r="O21" s="200"/>
      <c r="P21" s="200">
        <v>131956</v>
      </c>
      <c r="Q21" s="200">
        <f t="shared" si="5"/>
        <v>18179636</v>
      </c>
    </row>
    <row r="22" spans="1:17" ht="12.75" customHeight="1">
      <c r="A22" s="468">
        <f>A21+1</f>
        <v>14</v>
      </c>
      <c r="B22" s="44" t="s">
        <v>111</v>
      </c>
      <c r="C22" s="200">
        <f t="shared" si="1"/>
        <v>6891049</v>
      </c>
      <c r="D22" s="200">
        <f t="shared" si="2"/>
        <v>0</v>
      </c>
      <c r="E22" s="200"/>
      <c r="F22" s="200"/>
      <c r="G22" s="200"/>
      <c r="H22" s="204"/>
      <c r="I22" s="200">
        <f t="shared" si="4"/>
        <v>6891049</v>
      </c>
      <c r="J22" s="200">
        <v>6572295</v>
      </c>
      <c r="K22" s="200">
        <v>314354</v>
      </c>
      <c r="L22" s="200">
        <v>4400</v>
      </c>
      <c r="M22" s="200">
        <v>327129</v>
      </c>
      <c r="N22" s="222">
        <f t="shared" si="3"/>
        <v>7218178</v>
      </c>
      <c r="O22" s="200"/>
      <c r="P22" s="200">
        <v>5735327</v>
      </c>
      <c r="Q22" s="200">
        <f t="shared" si="5"/>
        <v>12953505</v>
      </c>
    </row>
    <row r="23" spans="1:17" ht="12.75" customHeight="1">
      <c r="A23" s="468">
        <f>A22+1</f>
        <v>15</v>
      </c>
      <c r="B23" s="44" t="s">
        <v>112</v>
      </c>
      <c r="C23" s="200">
        <f t="shared" si="1"/>
        <v>2276612</v>
      </c>
      <c r="D23" s="200">
        <f t="shared" si="2"/>
        <v>0</v>
      </c>
      <c r="E23" s="200"/>
      <c r="F23" s="200"/>
      <c r="G23" s="200"/>
      <c r="H23" s="204"/>
      <c r="I23" s="200">
        <f t="shared" si="4"/>
        <v>2276612</v>
      </c>
      <c r="J23" s="200">
        <v>2003907</v>
      </c>
      <c r="K23" s="200">
        <v>272705</v>
      </c>
      <c r="L23" s="200"/>
      <c r="M23" s="200"/>
      <c r="N23" s="222">
        <f t="shared" si="3"/>
        <v>2276612</v>
      </c>
      <c r="O23" s="200"/>
      <c r="P23" s="200"/>
      <c r="Q23" s="200">
        <f t="shared" si="5"/>
        <v>2276612</v>
      </c>
    </row>
    <row r="24" spans="1:17" ht="12.75" customHeight="1">
      <c r="A24" s="468">
        <f>A23+1</f>
        <v>16</v>
      </c>
      <c r="B24" s="209" t="s">
        <v>81</v>
      </c>
      <c r="C24" s="210">
        <f t="shared" si="1"/>
        <v>2345458</v>
      </c>
      <c r="D24" s="210">
        <f t="shared" si="2"/>
        <v>0</v>
      </c>
      <c r="E24" s="210"/>
      <c r="F24" s="210"/>
      <c r="G24" s="210"/>
      <c r="H24" s="460"/>
      <c r="I24" s="210">
        <f t="shared" si="4"/>
        <v>2345458</v>
      </c>
      <c r="J24" s="210">
        <v>1205738</v>
      </c>
      <c r="K24" s="210">
        <v>1139720</v>
      </c>
      <c r="L24" s="210"/>
      <c r="M24" s="210"/>
      <c r="N24" s="238">
        <f t="shared" si="3"/>
        <v>2345458</v>
      </c>
      <c r="O24" s="210"/>
      <c r="P24" s="210"/>
      <c r="Q24" s="210">
        <f t="shared" si="5"/>
        <v>2345458</v>
      </c>
    </row>
    <row r="25" spans="1:37" s="219" customFormat="1" ht="12.75" customHeight="1">
      <c r="A25" s="213" t="s">
        <v>113</v>
      </c>
      <c r="B25" s="214" t="s">
        <v>64</v>
      </c>
      <c r="C25" s="215">
        <f>SUM(C26:C32)</f>
        <v>33810270</v>
      </c>
      <c r="D25" s="215">
        <f aca="true" t="shared" si="9" ref="D25:Q25">SUM(D26:D32)</f>
        <v>25153000</v>
      </c>
      <c r="E25" s="215">
        <f t="shared" si="9"/>
        <v>23900258</v>
      </c>
      <c r="F25" s="215">
        <f t="shared" si="9"/>
        <v>1252742</v>
      </c>
      <c r="G25" s="215">
        <f t="shared" si="9"/>
        <v>0</v>
      </c>
      <c r="H25" s="215">
        <f t="shared" si="9"/>
        <v>0</v>
      </c>
      <c r="I25" s="215">
        <f>SUM(I26:I32)</f>
        <v>8657270</v>
      </c>
      <c r="J25" s="215">
        <f t="shared" si="9"/>
        <v>8561270</v>
      </c>
      <c r="K25" s="215">
        <f t="shared" si="9"/>
        <v>96000</v>
      </c>
      <c r="L25" s="215">
        <f t="shared" si="9"/>
        <v>0</v>
      </c>
      <c r="M25" s="215">
        <f t="shared" si="9"/>
        <v>0</v>
      </c>
      <c r="N25" s="215">
        <f t="shared" si="9"/>
        <v>33810270</v>
      </c>
      <c r="O25" s="215">
        <f t="shared" si="9"/>
        <v>1570000</v>
      </c>
      <c r="P25" s="215">
        <f t="shared" si="9"/>
        <v>0</v>
      </c>
      <c r="Q25" s="215">
        <f t="shared" si="9"/>
        <v>35380270</v>
      </c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</row>
    <row r="26" spans="1:17" ht="12.75" customHeight="1">
      <c r="A26" s="220">
        <v>17</v>
      </c>
      <c r="B26" s="221" t="s">
        <v>114</v>
      </c>
      <c r="C26" s="222">
        <f t="shared" si="1"/>
        <v>14627000</v>
      </c>
      <c r="D26" s="222">
        <f t="shared" si="2"/>
        <v>6700000</v>
      </c>
      <c r="E26" s="222">
        <v>6700000</v>
      </c>
      <c r="F26" s="222"/>
      <c r="G26" s="222"/>
      <c r="H26" s="472"/>
      <c r="I26" s="222">
        <f t="shared" si="4"/>
        <v>7927000</v>
      </c>
      <c r="J26" s="222">
        <v>7831000</v>
      </c>
      <c r="K26" s="222">
        <v>96000</v>
      </c>
      <c r="L26" s="222"/>
      <c r="M26" s="222"/>
      <c r="N26" s="222">
        <f t="shared" si="3"/>
        <v>14627000</v>
      </c>
      <c r="O26" s="222"/>
      <c r="P26" s="222"/>
      <c r="Q26" s="222">
        <f t="shared" si="5"/>
        <v>14627000</v>
      </c>
    </row>
    <row r="27" spans="1:17" ht="12.75" customHeight="1">
      <c r="A27" s="43">
        <f aca="true" t="shared" si="10" ref="A27:A32">A26+1</f>
        <v>18</v>
      </c>
      <c r="B27" s="44" t="s">
        <v>115</v>
      </c>
      <c r="C27" s="200">
        <f t="shared" si="1"/>
        <v>219092</v>
      </c>
      <c r="D27" s="200">
        <f t="shared" si="2"/>
        <v>0</v>
      </c>
      <c r="E27" s="200"/>
      <c r="F27" s="200"/>
      <c r="G27" s="200"/>
      <c r="H27" s="204"/>
      <c r="I27" s="200">
        <f t="shared" si="4"/>
        <v>219092</v>
      </c>
      <c r="J27" s="200">
        <v>219092</v>
      </c>
      <c r="K27" s="200"/>
      <c r="L27" s="200"/>
      <c r="M27" s="200"/>
      <c r="N27" s="222">
        <f t="shared" si="3"/>
        <v>219092</v>
      </c>
      <c r="O27" s="200">
        <v>1570000</v>
      </c>
      <c r="P27" s="200"/>
      <c r="Q27" s="200">
        <f t="shared" si="5"/>
        <v>1789092</v>
      </c>
    </row>
    <row r="28" spans="1:17" ht="12.75" customHeight="1">
      <c r="A28" s="43">
        <f t="shared" si="10"/>
        <v>19</v>
      </c>
      <c r="B28" s="44" t="s">
        <v>116</v>
      </c>
      <c r="C28" s="200">
        <f t="shared" si="1"/>
        <v>51000</v>
      </c>
      <c r="D28" s="200">
        <f t="shared" si="2"/>
        <v>51000</v>
      </c>
      <c r="E28" s="200">
        <v>51000</v>
      </c>
      <c r="F28" s="200"/>
      <c r="G28" s="200"/>
      <c r="H28" s="204"/>
      <c r="I28" s="200">
        <f t="shared" si="4"/>
        <v>0</v>
      </c>
      <c r="J28" s="200"/>
      <c r="K28" s="200"/>
      <c r="L28" s="200"/>
      <c r="M28" s="200"/>
      <c r="N28" s="222">
        <f t="shared" si="3"/>
        <v>51000</v>
      </c>
      <c r="O28" s="200"/>
      <c r="P28" s="200"/>
      <c r="Q28" s="200">
        <f t="shared" si="5"/>
        <v>51000</v>
      </c>
    </row>
    <row r="29" spans="1:17" ht="12.75" customHeight="1">
      <c r="A29" s="220">
        <f t="shared" si="10"/>
        <v>20</v>
      </c>
      <c r="B29" s="44" t="s">
        <v>84</v>
      </c>
      <c r="C29" s="200">
        <f t="shared" si="1"/>
        <v>3635000</v>
      </c>
      <c r="D29" s="200">
        <f t="shared" si="2"/>
        <v>3635000</v>
      </c>
      <c r="E29" s="200">
        <v>3635000</v>
      </c>
      <c r="F29" s="200"/>
      <c r="G29" s="200"/>
      <c r="H29" s="204"/>
      <c r="I29" s="200">
        <f t="shared" si="4"/>
        <v>0</v>
      </c>
      <c r="J29" s="200"/>
      <c r="K29" s="200"/>
      <c r="L29" s="200"/>
      <c r="M29" s="200"/>
      <c r="N29" s="222">
        <f t="shared" si="3"/>
        <v>3635000</v>
      </c>
      <c r="O29" s="200"/>
      <c r="P29" s="200"/>
      <c r="Q29" s="200">
        <f t="shared" si="5"/>
        <v>3635000</v>
      </c>
    </row>
    <row r="30" spans="1:17" ht="12.75" customHeight="1">
      <c r="A30" s="43">
        <f t="shared" si="10"/>
        <v>21</v>
      </c>
      <c r="B30" s="44" t="s">
        <v>83</v>
      </c>
      <c r="C30" s="200">
        <f t="shared" si="1"/>
        <v>9267000</v>
      </c>
      <c r="D30" s="200">
        <f t="shared" si="2"/>
        <v>9267000</v>
      </c>
      <c r="E30" s="200">
        <v>9267000</v>
      </c>
      <c r="F30" s="200"/>
      <c r="G30" s="200"/>
      <c r="H30" s="204"/>
      <c r="I30" s="200">
        <f t="shared" si="4"/>
        <v>0</v>
      </c>
      <c r="J30" s="200"/>
      <c r="K30" s="200"/>
      <c r="L30" s="200"/>
      <c r="M30" s="200"/>
      <c r="N30" s="222">
        <f t="shared" si="3"/>
        <v>9267000</v>
      </c>
      <c r="O30" s="200"/>
      <c r="P30" s="200"/>
      <c r="Q30" s="200">
        <f t="shared" si="5"/>
        <v>9267000</v>
      </c>
    </row>
    <row r="31" spans="1:17" ht="12.75" customHeight="1">
      <c r="A31" s="43">
        <f t="shared" si="10"/>
        <v>22</v>
      </c>
      <c r="B31" s="44" t="s">
        <v>85</v>
      </c>
      <c r="C31" s="200">
        <f t="shared" si="1"/>
        <v>5500000</v>
      </c>
      <c r="D31" s="200">
        <f t="shared" si="2"/>
        <v>5500000</v>
      </c>
      <c r="E31" s="200">
        <v>4247258</v>
      </c>
      <c r="F31" s="200">
        <v>1252742</v>
      </c>
      <c r="G31" s="200"/>
      <c r="H31" s="204"/>
      <c r="I31" s="200">
        <f t="shared" si="4"/>
        <v>0</v>
      </c>
      <c r="J31" s="200"/>
      <c r="K31" s="200"/>
      <c r="L31" s="200"/>
      <c r="M31" s="200"/>
      <c r="N31" s="222">
        <f t="shared" si="3"/>
        <v>5500000</v>
      </c>
      <c r="O31" s="200"/>
      <c r="P31" s="200"/>
      <c r="Q31" s="200">
        <f t="shared" si="5"/>
        <v>5500000</v>
      </c>
    </row>
    <row r="32" spans="1:17" ht="12.75" customHeight="1">
      <c r="A32" s="220">
        <f t="shared" si="10"/>
        <v>23</v>
      </c>
      <c r="B32" s="209" t="s">
        <v>86</v>
      </c>
      <c r="C32" s="210">
        <f t="shared" si="1"/>
        <v>511178</v>
      </c>
      <c r="D32" s="210">
        <f t="shared" si="2"/>
        <v>0</v>
      </c>
      <c r="E32" s="210"/>
      <c r="F32" s="210"/>
      <c r="G32" s="210"/>
      <c r="H32" s="460"/>
      <c r="I32" s="210">
        <f t="shared" si="4"/>
        <v>511178</v>
      </c>
      <c r="J32" s="210">
        <v>511178</v>
      </c>
      <c r="K32" s="210"/>
      <c r="L32" s="210"/>
      <c r="M32" s="210"/>
      <c r="N32" s="238">
        <f t="shared" si="3"/>
        <v>511178</v>
      </c>
      <c r="O32" s="210"/>
      <c r="P32" s="210"/>
      <c r="Q32" s="210">
        <f t="shared" si="5"/>
        <v>511178</v>
      </c>
    </row>
    <row r="33" spans="1:37" s="219" customFormat="1" ht="12.75" customHeight="1">
      <c r="A33" s="213" t="s">
        <v>117</v>
      </c>
      <c r="B33" s="214" t="s">
        <v>65</v>
      </c>
      <c r="C33" s="215">
        <f>SUM(C34:C38)</f>
        <v>349581841</v>
      </c>
      <c r="D33" s="215">
        <f aca="true" t="shared" si="11" ref="D33:Q33">SUM(D34:D38)</f>
        <v>272820000</v>
      </c>
      <c r="E33" s="215">
        <f t="shared" si="11"/>
        <v>268046277</v>
      </c>
      <c r="F33" s="215">
        <f t="shared" si="11"/>
        <v>4179064</v>
      </c>
      <c r="G33" s="215">
        <f t="shared" si="11"/>
        <v>0</v>
      </c>
      <c r="H33" s="215">
        <f t="shared" si="11"/>
        <v>594659</v>
      </c>
      <c r="I33" s="215">
        <f>SUM(I34:I38)</f>
        <v>76761841</v>
      </c>
      <c r="J33" s="215">
        <f t="shared" si="11"/>
        <v>75395610</v>
      </c>
      <c r="K33" s="215">
        <f t="shared" si="11"/>
        <v>855458</v>
      </c>
      <c r="L33" s="215">
        <f t="shared" si="11"/>
        <v>510773</v>
      </c>
      <c r="M33" s="215">
        <f t="shared" si="11"/>
        <v>0</v>
      </c>
      <c r="N33" s="215">
        <f t="shared" si="11"/>
        <v>349581841</v>
      </c>
      <c r="O33" s="215">
        <f t="shared" si="11"/>
        <v>0</v>
      </c>
      <c r="P33" s="215">
        <f t="shared" si="11"/>
        <v>613638</v>
      </c>
      <c r="Q33" s="215">
        <f t="shared" si="11"/>
        <v>350195479</v>
      </c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</row>
    <row r="34" spans="1:17" ht="12.75" customHeight="1">
      <c r="A34" s="220">
        <v>24</v>
      </c>
      <c r="B34" s="221" t="s">
        <v>87</v>
      </c>
      <c r="C34" s="222">
        <f t="shared" si="1"/>
        <v>89897168</v>
      </c>
      <c r="D34" s="222">
        <f t="shared" si="2"/>
        <v>80000000</v>
      </c>
      <c r="E34" s="222">
        <v>79536742</v>
      </c>
      <c r="F34" s="222"/>
      <c r="G34" s="222"/>
      <c r="H34" s="472">
        <v>463258</v>
      </c>
      <c r="I34" s="222">
        <f t="shared" si="4"/>
        <v>9897168</v>
      </c>
      <c r="J34" s="222">
        <v>9897168</v>
      </c>
      <c r="K34" s="222"/>
      <c r="L34" s="222"/>
      <c r="M34" s="222"/>
      <c r="N34" s="222">
        <f t="shared" si="3"/>
        <v>89897168</v>
      </c>
      <c r="O34" s="222"/>
      <c r="P34" s="222"/>
      <c r="Q34" s="222">
        <f t="shared" si="5"/>
        <v>89897168</v>
      </c>
    </row>
    <row r="35" spans="1:17" ht="12.75" customHeight="1">
      <c r="A35" s="43">
        <f>A34+1</f>
        <v>25</v>
      </c>
      <c r="B35" s="44" t="s">
        <v>88</v>
      </c>
      <c r="C35" s="200">
        <f t="shared" si="1"/>
        <v>34072847</v>
      </c>
      <c r="D35" s="200">
        <f t="shared" si="2"/>
        <v>32000000</v>
      </c>
      <c r="E35" s="200">
        <v>31868599</v>
      </c>
      <c r="F35" s="200"/>
      <c r="G35" s="200"/>
      <c r="H35" s="204">
        <v>131401</v>
      </c>
      <c r="I35" s="200">
        <f t="shared" si="4"/>
        <v>2072847</v>
      </c>
      <c r="J35" s="200">
        <v>2072847</v>
      </c>
      <c r="K35" s="200"/>
      <c r="L35" s="200"/>
      <c r="M35" s="200"/>
      <c r="N35" s="222">
        <f t="shared" si="3"/>
        <v>34072847</v>
      </c>
      <c r="O35" s="200"/>
      <c r="P35" s="200"/>
      <c r="Q35" s="200">
        <f t="shared" si="5"/>
        <v>34072847</v>
      </c>
    </row>
    <row r="36" spans="1:17" ht="12.75" customHeight="1">
      <c r="A36" s="43">
        <f>A35+1</f>
        <v>26</v>
      </c>
      <c r="B36" s="44" t="s">
        <v>89</v>
      </c>
      <c r="C36" s="200">
        <f t="shared" si="1"/>
        <v>45245508</v>
      </c>
      <c r="D36" s="200">
        <f t="shared" si="2"/>
        <v>35400000</v>
      </c>
      <c r="E36" s="200">
        <v>35400000</v>
      </c>
      <c r="F36" s="200"/>
      <c r="G36" s="200"/>
      <c r="H36" s="204"/>
      <c r="I36" s="200">
        <f t="shared" si="4"/>
        <v>9845508</v>
      </c>
      <c r="J36" s="200">
        <v>9820031</v>
      </c>
      <c r="K36" s="200">
        <v>25477</v>
      </c>
      <c r="L36" s="200"/>
      <c r="M36" s="200"/>
      <c r="N36" s="222">
        <f t="shared" si="3"/>
        <v>45245508</v>
      </c>
      <c r="O36" s="200"/>
      <c r="P36" s="200"/>
      <c r="Q36" s="200">
        <f t="shared" si="5"/>
        <v>45245508</v>
      </c>
    </row>
    <row r="37" spans="1:17" ht="12.75" customHeight="1">
      <c r="A37" s="220">
        <f>A36+1</f>
        <v>27</v>
      </c>
      <c r="B37" s="44" t="s">
        <v>90</v>
      </c>
      <c r="C37" s="200">
        <f t="shared" si="1"/>
        <v>61600318</v>
      </c>
      <c r="D37" s="200">
        <f t="shared" si="2"/>
        <v>49320000</v>
      </c>
      <c r="E37" s="200">
        <v>49320000</v>
      </c>
      <c r="F37" s="200"/>
      <c r="G37" s="200"/>
      <c r="H37" s="204"/>
      <c r="I37" s="200">
        <f t="shared" si="4"/>
        <v>12280318</v>
      </c>
      <c r="J37" s="200">
        <v>12234665</v>
      </c>
      <c r="K37" s="200">
        <v>45653</v>
      </c>
      <c r="L37" s="200"/>
      <c r="M37" s="200"/>
      <c r="N37" s="222">
        <f t="shared" si="3"/>
        <v>61600318</v>
      </c>
      <c r="O37" s="200"/>
      <c r="P37" s="200"/>
      <c r="Q37" s="200">
        <f t="shared" si="5"/>
        <v>61600318</v>
      </c>
    </row>
    <row r="38" spans="1:17" ht="12.75" customHeight="1">
      <c r="A38" s="43">
        <f>A37+1</f>
        <v>28</v>
      </c>
      <c r="B38" s="209" t="s">
        <v>91</v>
      </c>
      <c r="C38" s="210">
        <f t="shared" si="1"/>
        <v>118766000</v>
      </c>
      <c r="D38" s="210">
        <f t="shared" si="2"/>
        <v>76100000</v>
      </c>
      <c r="E38" s="210">
        <v>71920936</v>
      </c>
      <c r="F38" s="210">
        <v>4179064</v>
      </c>
      <c r="G38" s="210"/>
      <c r="H38" s="460"/>
      <c r="I38" s="210">
        <f>J38+K38+L38</f>
        <v>42666000</v>
      </c>
      <c r="J38" s="210">
        <f>40135804+1235095</f>
        <v>41370899</v>
      </c>
      <c r="K38" s="210">
        <v>784328</v>
      </c>
      <c r="L38" s="210">
        <v>510773</v>
      </c>
      <c r="M38" s="210"/>
      <c r="N38" s="238">
        <f t="shared" si="3"/>
        <v>118766000</v>
      </c>
      <c r="O38" s="210"/>
      <c r="P38" s="210">
        <v>613638</v>
      </c>
      <c r="Q38" s="210">
        <f t="shared" si="5"/>
        <v>119379638</v>
      </c>
    </row>
    <row r="39" spans="1:37" s="219" customFormat="1" ht="12.75" customHeight="1">
      <c r="A39" s="213" t="s">
        <v>118</v>
      </c>
      <c r="B39" s="214" t="s">
        <v>66</v>
      </c>
      <c r="C39" s="215">
        <f aca="true" t="shared" si="12" ref="C39:Q39">SUM(C40:C41)</f>
        <v>31323237</v>
      </c>
      <c r="D39" s="215">
        <f t="shared" si="12"/>
        <v>30800000</v>
      </c>
      <c r="E39" s="215">
        <f t="shared" si="12"/>
        <v>23210502</v>
      </c>
      <c r="F39" s="215">
        <f t="shared" si="12"/>
        <v>7589498</v>
      </c>
      <c r="G39" s="215">
        <f t="shared" si="12"/>
        <v>0</v>
      </c>
      <c r="H39" s="215">
        <f t="shared" si="12"/>
        <v>0</v>
      </c>
      <c r="I39" s="215">
        <f t="shared" si="12"/>
        <v>523237</v>
      </c>
      <c r="J39" s="215">
        <f t="shared" si="12"/>
        <v>523237</v>
      </c>
      <c r="K39" s="215">
        <f t="shared" si="12"/>
        <v>0</v>
      </c>
      <c r="L39" s="215">
        <f t="shared" si="12"/>
        <v>0</v>
      </c>
      <c r="M39" s="215">
        <f t="shared" si="12"/>
        <v>0</v>
      </c>
      <c r="N39" s="215">
        <f t="shared" si="12"/>
        <v>31323237</v>
      </c>
      <c r="O39" s="215">
        <f t="shared" si="12"/>
        <v>0</v>
      </c>
      <c r="P39" s="215">
        <f t="shared" si="12"/>
        <v>0</v>
      </c>
      <c r="Q39" s="215">
        <f t="shared" si="12"/>
        <v>31323237</v>
      </c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</row>
    <row r="40" spans="1:17" ht="12.75" customHeight="1">
      <c r="A40" s="220">
        <v>29</v>
      </c>
      <c r="B40" s="221" t="s">
        <v>92</v>
      </c>
      <c r="C40" s="222">
        <f t="shared" si="1"/>
        <v>24823237</v>
      </c>
      <c r="D40" s="222">
        <f t="shared" si="2"/>
        <v>24300000</v>
      </c>
      <c r="E40" s="222">
        <v>18405295</v>
      </c>
      <c r="F40" s="222">
        <v>5894705</v>
      </c>
      <c r="G40" s="222"/>
      <c r="H40" s="472"/>
      <c r="I40" s="222">
        <f t="shared" si="4"/>
        <v>523237</v>
      </c>
      <c r="J40" s="222">
        <v>523237</v>
      </c>
      <c r="K40" s="222"/>
      <c r="L40" s="222"/>
      <c r="M40" s="222"/>
      <c r="N40" s="222">
        <f t="shared" si="3"/>
        <v>24823237</v>
      </c>
      <c r="O40" s="222"/>
      <c r="P40" s="222"/>
      <c r="Q40" s="222">
        <f t="shared" si="5"/>
        <v>24823237</v>
      </c>
    </row>
    <row r="41" spans="1:17" ht="12.75" customHeight="1">
      <c r="A41" s="43">
        <v>30</v>
      </c>
      <c r="B41" s="44" t="s">
        <v>93</v>
      </c>
      <c r="C41" s="200">
        <f t="shared" si="1"/>
        <v>6500000</v>
      </c>
      <c r="D41" s="200">
        <f t="shared" si="2"/>
        <v>6500000</v>
      </c>
      <c r="E41" s="200">
        <v>4805207</v>
      </c>
      <c r="F41" s="200">
        <v>1694793</v>
      </c>
      <c r="G41" s="200"/>
      <c r="H41" s="204"/>
      <c r="I41" s="200">
        <f t="shared" si="4"/>
        <v>0</v>
      </c>
      <c r="J41" s="200"/>
      <c r="K41" s="200"/>
      <c r="L41" s="200"/>
      <c r="M41" s="200"/>
      <c r="N41" s="222">
        <f t="shared" si="3"/>
        <v>6500000</v>
      </c>
      <c r="O41" s="200"/>
      <c r="P41" s="200"/>
      <c r="Q41" s="200">
        <f t="shared" si="5"/>
        <v>6500000</v>
      </c>
    </row>
    <row r="42" spans="1:37" s="219" customFormat="1" ht="12.75" customHeight="1">
      <c r="A42" s="213"/>
      <c r="B42" s="214" t="s">
        <v>60</v>
      </c>
      <c r="C42" s="215">
        <f>C6+C11+C19+C25+C33+C39</f>
        <v>748970734</v>
      </c>
      <c r="D42" s="215">
        <f aca="true" t="shared" si="13" ref="D42:Q42">D6+D11+D19+D25+D33+D39</f>
        <v>606873000</v>
      </c>
      <c r="E42" s="215">
        <f t="shared" si="13"/>
        <v>592336751</v>
      </c>
      <c r="F42" s="215">
        <f t="shared" si="13"/>
        <v>13545989</v>
      </c>
      <c r="G42" s="215">
        <f t="shared" si="13"/>
        <v>0</v>
      </c>
      <c r="H42" s="215">
        <f t="shared" si="13"/>
        <v>990260</v>
      </c>
      <c r="I42" s="215">
        <f t="shared" si="13"/>
        <v>142097734</v>
      </c>
      <c r="J42" s="215">
        <f t="shared" si="13"/>
        <v>137775353</v>
      </c>
      <c r="K42" s="215">
        <f t="shared" si="13"/>
        <v>3701576</v>
      </c>
      <c r="L42" s="215">
        <f t="shared" si="13"/>
        <v>620805</v>
      </c>
      <c r="M42" s="215">
        <f t="shared" si="13"/>
        <v>327129</v>
      </c>
      <c r="N42" s="215">
        <f t="shared" si="13"/>
        <v>749297863</v>
      </c>
      <c r="O42" s="215">
        <f t="shared" si="13"/>
        <v>1570000</v>
      </c>
      <c r="P42" s="215">
        <f t="shared" si="13"/>
        <v>6480921</v>
      </c>
      <c r="Q42" s="215">
        <f t="shared" si="13"/>
        <v>757348784</v>
      </c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</row>
    <row r="43" spans="1:17" s="233" customFormat="1" ht="30.75" customHeight="1">
      <c r="A43" s="219" t="s">
        <v>196</v>
      </c>
      <c r="B43" s="462" t="s">
        <v>410</v>
      </c>
      <c r="C43" s="268">
        <f>624008788-D42+H42</f>
        <v>18126048</v>
      </c>
      <c r="D43" s="219"/>
      <c r="E43" s="219"/>
      <c r="F43" s="268"/>
      <c r="G43" s="268"/>
      <c r="H43" s="268"/>
      <c r="I43" s="268"/>
      <c r="J43" s="268"/>
      <c r="K43" s="268"/>
      <c r="L43" s="219"/>
      <c r="M43" s="215"/>
      <c r="N43" s="215"/>
      <c r="O43" s="215"/>
      <c r="P43" s="215"/>
      <c r="Q43" s="215"/>
    </row>
    <row r="44" spans="1:17" ht="13.5" customHeight="1">
      <c r="A44" s="823" t="s">
        <v>464</v>
      </c>
      <c r="B44" s="824"/>
      <c r="C44" s="268">
        <f>C42+C43</f>
        <v>767096782</v>
      </c>
      <c r="D44" s="839" t="s">
        <v>465</v>
      </c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</row>
    <row r="45" spans="11:17" ht="17.25" customHeight="1">
      <c r="K45" s="459"/>
      <c r="M45" s="464"/>
      <c r="N45" s="464"/>
      <c r="O45" s="464"/>
      <c r="P45" s="464"/>
      <c r="Q45" s="464"/>
    </row>
    <row r="46" spans="4:17" ht="17.25" customHeight="1">
      <c r="D46" s="459">
        <f>D42+C43</f>
        <v>624999048</v>
      </c>
      <c r="H46" s="459">
        <f>C43+D42-H42+I42</f>
        <v>766106522</v>
      </c>
      <c r="M46" s="464"/>
      <c r="N46" s="464"/>
      <c r="O46" s="464"/>
      <c r="P46" s="464"/>
      <c r="Q46" s="464"/>
    </row>
  </sheetData>
  <sheetProtection/>
  <mergeCells count="14">
    <mergeCell ref="O1:Q1"/>
    <mergeCell ref="P2:P4"/>
    <mergeCell ref="Q2:Q4"/>
    <mergeCell ref="C3:C4"/>
    <mergeCell ref="D3:H3"/>
    <mergeCell ref="I3:L3"/>
    <mergeCell ref="O2:O4"/>
    <mergeCell ref="B2:B4"/>
    <mergeCell ref="C2:L2"/>
    <mergeCell ref="M2:M4"/>
    <mergeCell ref="N2:N4"/>
    <mergeCell ref="A44:B44"/>
    <mergeCell ref="D44:Q44"/>
    <mergeCell ref="A2:A4"/>
  </mergeCells>
  <printOptions horizontalCentered="1"/>
  <pageMargins left="0.2" right="0.2" top="0.6" bottom="0.15" header="0.3" footer="0.3"/>
  <pageSetup horizontalDpi="600" verticalDpi="600" orientation="landscape" r:id="rId1"/>
  <headerFooter>
    <oddHeader>&amp;C&amp;"Time new roman,Bold"&amp;10Phụ biểu 08. Kết quả huy động các nguồn thu của QBV&amp;PTR trên toàn quốc năm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="115" zoomScaleNormal="115" zoomScalePageLayoutView="0" workbookViewId="0" topLeftCell="A7">
      <selection activeCell="P25" sqref="P25"/>
    </sheetView>
  </sheetViews>
  <sheetFormatPr defaultColWidth="10.7109375" defaultRowHeight="35.25" customHeight="1"/>
  <cols>
    <col min="1" max="1" width="5.57421875" style="168" customWidth="1"/>
    <col min="2" max="2" width="13.7109375" style="168" customWidth="1"/>
    <col min="3" max="3" width="12.140625" style="168" customWidth="1"/>
    <col min="4" max="4" width="12.57421875" style="168" customWidth="1"/>
    <col min="5" max="5" width="13.140625" style="168" customWidth="1"/>
    <col min="6" max="6" width="11.421875" style="168" hidden="1" customWidth="1"/>
    <col min="7" max="8" width="0" style="168" hidden="1" customWidth="1"/>
    <col min="9" max="9" width="13.00390625" style="168" hidden="1" customWidth="1"/>
    <col min="10" max="10" width="12.28125" style="168" hidden="1" customWidth="1"/>
    <col min="11" max="12" width="0" style="168" hidden="1" customWidth="1"/>
    <col min="13" max="13" width="12.57421875" style="168" customWidth="1"/>
    <col min="14" max="14" width="12.140625" style="168" customWidth="1"/>
    <col min="15" max="15" width="10.7109375" style="168" customWidth="1"/>
    <col min="16" max="16" width="12.7109375" style="168" customWidth="1"/>
    <col min="17" max="17" width="12.57421875" style="168" customWidth="1"/>
    <col min="18" max="16384" width="10.7109375" style="168" customWidth="1"/>
  </cols>
  <sheetData>
    <row r="1" spans="1:17" s="167" customFormat="1" ht="15.75" customHeight="1">
      <c r="A1" s="843" t="s">
        <v>0</v>
      </c>
      <c r="B1" s="844" t="s">
        <v>131</v>
      </c>
      <c r="C1" s="842" t="s">
        <v>278</v>
      </c>
      <c r="D1" s="842"/>
      <c r="E1" s="842"/>
      <c r="F1" s="842"/>
      <c r="G1" s="842"/>
      <c r="H1" s="842"/>
      <c r="I1" s="842"/>
      <c r="J1" s="842"/>
      <c r="K1" s="842"/>
      <c r="L1" s="842"/>
      <c r="M1" s="842" t="s">
        <v>286</v>
      </c>
      <c r="N1" s="845" t="s">
        <v>285</v>
      </c>
      <c r="O1" s="842" t="s">
        <v>12</v>
      </c>
      <c r="P1" s="842" t="s">
        <v>282</v>
      </c>
      <c r="Q1" s="842" t="s">
        <v>279</v>
      </c>
    </row>
    <row r="2" spans="1:17" s="167" customFormat="1" ht="15.75" customHeight="1">
      <c r="A2" s="843"/>
      <c r="B2" s="844"/>
      <c r="C2" s="842" t="s">
        <v>11</v>
      </c>
      <c r="D2" s="842" t="s">
        <v>276</v>
      </c>
      <c r="E2" s="842"/>
      <c r="F2" s="842"/>
      <c r="G2" s="842"/>
      <c r="H2" s="842"/>
      <c r="I2" s="842" t="s">
        <v>52</v>
      </c>
      <c r="J2" s="842"/>
      <c r="K2" s="842"/>
      <c r="L2" s="842"/>
      <c r="M2" s="842"/>
      <c r="N2" s="846"/>
      <c r="O2" s="842"/>
      <c r="P2" s="842"/>
      <c r="Q2" s="842"/>
    </row>
    <row r="3" spans="1:17" s="167" customFormat="1" ht="42" customHeight="1">
      <c r="A3" s="843"/>
      <c r="B3" s="844"/>
      <c r="C3" s="842"/>
      <c r="D3" s="381" t="s">
        <v>274</v>
      </c>
      <c r="E3" s="381" t="s">
        <v>94</v>
      </c>
      <c r="F3" s="381" t="s">
        <v>3</v>
      </c>
      <c r="G3" s="381" t="s">
        <v>4</v>
      </c>
      <c r="H3" s="381" t="s">
        <v>275</v>
      </c>
      <c r="I3" s="381" t="s">
        <v>277</v>
      </c>
      <c r="J3" s="381" t="s">
        <v>94</v>
      </c>
      <c r="K3" s="381" t="s">
        <v>3</v>
      </c>
      <c r="L3" s="381" t="s">
        <v>4</v>
      </c>
      <c r="M3" s="842"/>
      <c r="N3" s="846"/>
      <c r="O3" s="842"/>
      <c r="P3" s="842"/>
      <c r="Q3" s="842"/>
    </row>
    <row r="4" spans="1:17" s="191" customFormat="1" ht="15.75" customHeight="1">
      <c r="A4" s="189" t="s">
        <v>9</v>
      </c>
      <c r="B4" s="189" t="s">
        <v>10</v>
      </c>
      <c r="C4" s="190" t="s">
        <v>291</v>
      </c>
      <c r="D4" s="190" t="s">
        <v>284</v>
      </c>
      <c r="E4" s="190" t="s">
        <v>101</v>
      </c>
      <c r="F4" s="190" t="s">
        <v>102</v>
      </c>
      <c r="G4" s="190" t="s">
        <v>103</v>
      </c>
      <c r="H4" s="190" t="s">
        <v>230</v>
      </c>
      <c r="I4" s="190" t="s">
        <v>289</v>
      </c>
      <c r="J4" s="190" t="s">
        <v>135</v>
      </c>
      <c r="K4" s="190" t="s">
        <v>231</v>
      </c>
      <c r="L4" s="190" t="s">
        <v>232</v>
      </c>
      <c r="M4" s="190" t="s">
        <v>280</v>
      </c>
      <c r="N4" s="190" t="s">
        <v>290</v>
      </c>
      <c r="O4" s="190" t="s">
        <v>281</v>
      </c>
      <c r="P4" s="190" t="s">
        <v>104</v>
      </c>
      <c r="Q4" s="190" t="s">
        <v>292</v>
      </c>
    </row>
    <row r="5" spans="1:17" s="164" customFormat="1" ht="12.75">
      <c r="A5" s="169" t="s">
        <v>105</v>
      </c>
      <c r="B5" s="170" t="s">
        <v>61</v>
      </c>
      <c r="C5" s="165">
        <f>'Bieu 05'!C6+'Bieu 06'!C6+'Bieu 07'!C6</f>
        <v>703064106</v>
      </c>
      <c r="D5" s="165">
        <f>'Bieu 05'!D6+'Bieu 06'!D6+'Bieu 07'!D6</f>
        <v>685672000</v>
      </c>
      <c r="E5" s="165">
        <f>'Bieu 05'!E6+'Bieu 06'!E6+'Bieu 07'!E6</f>
        <v>684676143</v>
      </c>
      <c r="F5" s="165">
        <f>'Bieu 05'!F6+'Bieu 06'!F6+'Bieu 07'!F6</f>
        <v>0</v>
      </c>
      <c r="G5" s="165">
        <f>'Bieu 05'!G6+'Bieu 06'!G6+'Bieu 07'!G6</f>
        <v>0</v>
      </c>
      <c r="H5" s="165">
        <f>'Bieu 05'!H6+'Bieu 06'!H6+'Bieu 07'!H6</f>
        <v>995857</v>
      </c>
      <c r="I5" s="165">
        <f>'Bieu 05'!I6+'Bieu 06'!I6+'Bieu 07'!I6</f>
        <v>17392106</v>
      </c>
      <c r="J5" s="165">
        <f>'Bieu 05'!J6+'Bieu 06'!J6+'Bieu 07'!J6</f>
        <v>16102716</v>
      </c>
      <c r="K5" s="165">
        <f>'Bieu 05'!K6+'Bieu 06'!K6+'Bieu 07'!K6</f>
        <v>1289390</v>
      </c>
      <c r="L5" s="165">
        <f>'Bieu 05'!L6+'Bieu 06'!L6+'Bieu 07'!L6</f>
        <v>0</v>
      </c>
      <c r="M5" s="165">
        <f>'Bieu 05'!M6+'Bieu 06'!M6+'Bieu 07'!M6</f>
        <v>5522956</v>
      </c>
      <c r="N5" s="165">
        <f>'Bieu 05'!N6+'Bieu 06'!N6+'Bieu 07'!N6</f>
        <v>708587062</v>
      </c>
      <c r="O5" s="165">
        <f>'Bieu 05'!O6+'Bieu 06'!O6+'Bieu 07'!O6</f>
        <v>319000</v>
      </c>
      <c r="P5" s="165">
        <f>'Bieu 05'!P6+'Bieu 06'!P6+'Bieu 07'!P6</f>
        <v>0</v>
      </c>
      <c r="Q5" s="165">
        <f>'Bieu 05'!Q6+'Bieu 06'!Q6+'Bieu 07'!Q6</f>
        <v>708906062</v>
      </c>
    </row>
    <row r="6" spans="1:22" ht="15" customHeight="1">
      <c r="A6" s="171">
        <v>1</v>
      </c>
      <c r="B6" s="172" t="s">
        <v>68</v>
      </c>
      <c r="C6" s="173">
        <f>'Bieu 05'!C7+'Bieu 06'!C7+'Bieu 07'!C7</f>
        <v>205962612</v>
      </c>
      <c r="D6" s="173">
        <f>'Bieu 05'!D7+'Bieu 06'!D7+'Bieu 07'!D7</f>
        <v>204500000</v>
      </c>
      <c r="E6" s="173">
        <f>'Bieu 05'!E7+'Bieu 06'!E7+'Bieu 07'!E7</f>
        <v>204148496</v>
      </c>
      <c r="F6" s="173">
        <f>'Bieu 05'!F7+'Bieu 06'!F7+'Bieu 07'!F7</f>
        <v>0</v>
      </c>
      <c r="G6" s="173">
        <f>'Bieu 05'!G7+'Bieu 06'!G7+'Bieu 07'!G7</f>
        <v>0</v>
      </c>
      <c r="H6" s="173">
        <f>'Bieu 05'!H7+'Bieu 06'!H7+'Bieu 07'!H7</f>
        <v>351504</v>
      </c>
      <c r="I6" s="173">
        <f>'Bieu 05'!I7+'Bieu 06'!I7+'Bieu 07'!I7</f>
        <v>1462612</v>
      </c>
      <c r="J6" s="173">
        <f>'Bieu 05'!J7+'Bieu 06'!J7+'Bieu 07'!J7</f>
        <v>561443</v>
      </c>
      <c r="K6" s="173">
        <f>'Bieu 05'!K7+'Bieu 06'!K7+'Bieu 07'!K7</f>
        <v>901169</v>
      </c>
      <c r="L6" s="173">
        <f>'Bieu 05'!L7+'Bieu 06'!L7+'Bieu 07'!L7</f>
        <v>0</v>
      </c>
      <c r="M6" s="173">
        <f>'Bieu 05'!M7+'Bieu 06'!M7+'Bieu 07'!M7</f>
        <v>974453</v>
      </c>
      <c r="N6" s="173">
        <f>'Bieu 05'!N7+'Bieu 06'!N7+'Bieu 07'!N7</f>
        <v>206937065</v>
      </c>
      <c r="O6" s="173">
        <f>'Bieu 05'!O7+'Bieu 06'!O7+'Bieu 07'!O7</f>
        <v>0</v>
      </c>
      <c r="P6" s="173">
        <f>'Bieu 05'!P7+'Bieu 06'!P7+'Bieu 07'!P7</f>
        <v>0</v>
      </c>
      <c r="Q6" s="173">
        <f>'Bieu 05'!Q7+'Bieu 06'!Q7+'Bieu 07'!Q7</f>
        <v>206937065</v>
      </c>
      <c r="R6" s="185">
        <f>D6-E6-F6-G6-H6</f>
        <v>0</v>
      </c>
      <c r="S6" s="185">
        <f>I6-J6-K6-L6</f>
        <v>0</v>
      </c>
      <c r="T6" s="185">
        <f>C6-D6-I6</f>
        <v>0</v>
      </c>
      <c r="U6" s="185">
        <f>N6-M6-C6</f>
        <v>0</v>
      </c>
      <c r="V6" s="185">
        <f>Q6-P6-O6-N6</f>
        <v>0</v>
      </c>
    </row>
    <row r="7" spans="1:22" ht="15" customHeight="1">
      <c r="A7" s="171">
        <f>A6+1</f>
        <v>2</v>
      </c>
      <c r="B7" s="174" t="s">
        <v>106</v>
      </c>
      <c r="C7" s="173">
        <f>'Bieu 05'!C8+'Bieu 06'!C8+'Bieu 07'!C8</f>
        <v>371677000</v>
      </c>
      <c r="D7" s="173">
        <f>'Bieu 05'!D8+'Bieu 06'!D8+'Bieu 07'!D8</f>
        <v>357572000</v>
      </c>
      <c r="E7" s="173">
        <f>'Bieu 05'!E8+'Bieu 06'!E8+'Bieu 07'!E8</f>
        <v>356981427</v>
      </c>
      <c r="F7" s="173">
        <f>'Bieu 05'!F8+'Bieu 06'!F8+'Bieu 07'!F8</f>
        <v>0</v>
      </c>
      <c r="G7" s="173">
        <f>'Bieu 05'!G8+'Bieu 06'!G8+'Bieu 07'!G8</f>
        <v>0</v>
      </c>
      <c r="H7" s="173">
        <f>'Bieu 05'!H8+'Bieu 06'!H8+'Bieu 07'!H8</f>
        <v>590573</v>
      </c>
      <c r="I7" s="173">
        <f>'Bieu 05'!I8+'Bieu 06'!I8+'Bieu 07'!I8</f>
        <v>14105000</v>
      </c>
      <c r="J7" s="173">
        <f>'Bieu 05'!J8+'Bieu 06'!J8+'Bieu 07'!J8</f>
        <v>14105000</v>
      </c>
      <c r="K7" s="173">
        <f>'Bieu 05'!K8+'Bieu 06'!K8+'Bieu 07'!K8</f>
        <v>0</v>
      </c>
      <c r="L7" s="173">
        <f>'Bieu 05'!L8+'Bieu 06'!L8+'Bieu 07'!L8</f>
        <v>0</v>
      </c>
      <c r="M7" s="173">
        <f>'Bieu 05'!M8+'Bieu 06'!M8+'Bieu 07'!M8</f>
        <v>2622000</v>
      </c>
      <c r="N7" s="173">
        <f>'Bieu 05'!N8+'Bieu 06'!N8+'Bieu 07'!N8</f>
        <v>374299000</v>
      </c>
      <c r="O7" s="184">
        <f>'Bieu 05'!O8+'Bieu 06'!O8+'Bieu 07'!O8</f>
        <v>319000</v>
      </c>
      <c r="P7" s="173">
        <f>'Bieu 05'!P8+'Bieu 06'!P8+'Bieu 07'!P8</f>
        <v>0</v>
      </c>
      <c r="Q7" s="184">
        <f>'Bieu 05'!Q8+'Bieu 06'!Q8+'Bieu 07'!Q8</f>
        <v>374618000</v>
      </c>
      <c r="R7" s="185">
        <f aca="true" t="shared" si="0" ref="R7:R41">D7-E7-F7-G7-H7</f>
        <v>0</v>
      </c>
      <c r="S7" s="185">
        <f aca="true" t="shared" si="1" ref="S7:S41">I7-J7-K7-L7</f>
        <v>0</v>
      </c>
      <c r="T7" s="185">
        <f aca="true" t="shared" si="2" ref="T7:T41">C7-D7-I7</f>
        <v>0</v>
      </c>
      <c r="U7" s="185">
        <f aca="true" t="shared" si="3" ref="U7:U41">N7-M7-C7</f>
        <v>0</v>
      </c>
      <c r="V7" s="185">
        <f aca="true" t="shared" si="4" ref="V7:V41">Q7-P7-O7-N7</f>
        <v>0</v>
      </c>
    </row>
    <row r="8" spans="1:22" s="176" customFormat="1" ht="15" customHeight="1">
      <c r="A8" s="171">
        <f>A7+1</f>
        <v>3</v>
      </c>
      <c r="B8" s="174" t="s">
        <v>67</v>
      </c>
      <c r="C8" s="173">
        <f>'Bieu 05'!C9+'Bieu 06'!C9+'Bieu 07'!C9</f>
        <v>101645639</v>
      </c>
      <c r="D8" s="173">
        <f>'Bieu 05'!D9+'Bieu 06'!D9+'Bieu 07'!D9</f>
        <v>100000000</v>
      </c>
      <c r="E8" s="173">
        <f>'Bieu 05'!E9+'Bieu 06'!E9+'Bieu 07'!E9</f>
        <v>100000000</v>
      </c>
      <c r="F8" s="173">
        <f>'Bieu 05'!F9+'Bieu 06'!F9+'Bieu 07'!F9</f>
        <v>0</v>
      </c>
      <c r="G8" s="173">
        <f>'Bieu 05'!G9+'Bieu 06'!G9+'Bieu 07'!G9</f>
        <v>0</v>
      </c>
      <c r="H8" s="173">
        <f>'Bieu 05'!H9+'Bieu 06'!H9+'Bieu 07'!H9</f>
        <v>0</v>
      </c>
      <c r="I8" s="173">
        <f>'Bieu 05'!I9+'Bieu 06'!I9+'Bieu 07'!I9</f>
        <v>1645639</v>
      </c>
      <c r="J8" s="173">
        <f>'Bieu 05'!J9+'Bieu 06'!J9+'Bieu 07'!J9</f>
        <v>1436273</v>
      </c>
      <c r="K8" s="173">
        <f>'Bieu 05'!K9+'Bieu 06'!K9+'Bieu 07'!K9</f>
        <v>209366</v>
      </c>
      <c r="L8" s="173">
        <f>'Bieu 05'!L9+'Bieu 06'!L9+'Bieu 07'!L9</f>
        <v>0</v>
      </c>
      <c r="M8" s="173">
        <f>'Bieu 05'!M9+'Bieu 06'!M9+'Bieu 07'!M9</f>
        <v>1708813</v>
      </c>
      <c r="N8" s="173">
        <f>'Bieu 05'!N9+'Bieu 06'!N9+'Bieu 07'!N9</f>
        <v>103354452</v>
      </c>
      <c r="O8" s="173">
        <f>'Bieu 05'!O9+'Bieu 06'!O9+'Bieu 07'!O9</f>
        <v>0</v>
      </c>
      <c r="P8" s="173">
        <f>'Bieu 05'!P9+'Bieu 06'!P9+'Bieu 07'!P9</f>
        <v>0</v>
      </c>
      <c r="Q8" s="184">
        <f>'Bieu 05'!Q9+'Bieu 06'!Q9+'Bieu 07'!Q9</f>
        <v>103354452</v>
      </c>
      <c r="R8" s="185">
        <f t="shared" si="0"/>
        <v>0</v>
      </c>
      <c r="S8" s="185">
        <f t="shared" si="1"/>
        <v>0</v>
      </c>
      <c r="T8" s="185">
        <f t="shared" si="2"/>
        <v>0</v>
      </c>
      <c r="U8" s="185">
        <f t="shared" si="3"/>
        <v>0</v>
      </c>
      <c r="V8" s="185">
        <f t="shared" si="4"/>
        <v>0</v>
      </c>
    </row>
    <row r="9" spans="1:22" ht="15" customHeight="1">
      <c r="A9" s="171">
        <f>A8+1</f>
        <v>4</v>
      </c>
      <c r="B9" s="177" t="s">
        <v>70</v>
      </c>
      <c r="C9" s="179">
        <f>'Bieu 05'!C10+'Bieu 06'!C10+'Bieu 07'!C10</f>
        <v>23778855</v>
      </c>
      <c r="D9" s="179">
        <f>'Bieu 05'!D10+'Bieu 06'!D10+'Bieu 07'!D10</f>
        <v>23600000</v>
      </c>
      <c r="E9" s="179">
        <f>'Bieu 05'!E10+'Bieu 06'!E10+'Bieu 07'!E10</f>
        <v>23546220</v>
      </c>
      <c r="F9" s="179">
        <f>'Bieu 05'!F10+'Bieu 06'!F10+'Bieu 07'!F10</f>
        <v>0</v>
      </c>
      <c r="G9" s="179">
        <f>'Bieu 05'!G10+'Bieu 06'!G10+'Bieu 07'!G10</f>
        <v>0</v>
      </c>
      <c r="H9" s="179">
        <f>'Bieu 05'!H10+'Bieu 06'!H10+'Bieu 07'!H10</f>
        <v>53780</v>
      </c>
      <c r="I9" s="179">
        <f>'Bieu 05'!I10+'Bieu 06'!I10+'Bieu 07'!I10</f>
        <v>178855</v>
      </c>
      <c r="J9" s="179">
        <f>'Bieu 05'!J10+'Bieu 06'!J10+'Bieu 07'!J10</f>
        <v>0</v>
      </c>
      <c r="K9" s="179">
        <f>'Bieu 05'!K10+'Bieu 06'!K10+'Bieu 07'!K10</f>
        <v>178855</v>
      </c>
      <c r="L9" s="179">
        <f>'Bieu 05'!L10+'Bieu 06'!L10+'Bieu 07'!L10</f>
        <v>0</v>
      </c>
      <c r="M9" s="179">
        <f>'Bieu 05'!M10+'Bieu 06'!M10+'Bieu 07'!M10</f>
        <v>217690</v>
      </c>
      <c r="N9" s="179">
        <f>'Bieu 05'!N10+'Bieu 06'!N10+'Bieu 07'!N10</f>
        <v>23996545</v>
      </c>
      <c r="O9" s="179">
        <f>'Bieu 05'!O10+'Bieu 06'!O10+'Bieu 07'!O10</f>
        <v>0</v>
      </c>
      <c r="P9" s="179">
        <f>'Bieu 05'!P10+'Bieu 06'!P10+'Bieu 07'!P10</f>
        <v>0</v>
      </c>
      <c r="Q9" s="187">
        <f>'Bieu 05'!Q10+'Bieu 06'!Q10+'Bieu 07'!Q10</f>
        <v>23996545</v>
      </c>
      <c r="R9" s="185">
        <f t="shared" si="0"/>
        <v>0</v>
      </c>
      <c r="S9" s="185">
        <f t="shared" si="1"/>
        <v>0</v>
      </c>
      <c r="T9" s="185">
        <f t="shared" si="2"/>
        <v>0</v>
      </c>
      <c r="U9" s="185">
        <f t="shared" si="3"/>
        <v>0</v>
      </c>
      <c r="V9" s="185">
        <f t="shared" si="4"/>
        <v>0</v>
      </c>
    </row>
    <row r="10" spans="1:22" s="164" customFormat="1" ht="15" customHeight="1">
      <c r="A10" s="180" t="s">
        <v>107</v>
      </c>
      <c r="B10" s="181" t="s">
        <v>62</v>
      </c>
      <c r="C10" s="165">
        <f>'Bieu 05'!C11+'Bieu 06'!C11+'Bieu 07'!C11</f>
        <v>153728906</v>
      </c>
      <c r="D10" s="165">
        <f>'Bieu 05'!D11+'Bieu 06'!D11+'Bieu 07'!D11</f>
        <v>125658708</v>
      </c>
      <c r="E10" s="165">
        <f>'Bieu 05'!E11+'Bieu 06'!E11+'Bieu 07'!E11</f>
        <v>125451720</v>
      </c>
      <c r="F10" s="165">
        <f>'Bieu 05'!F11+'Bieu 06'!F11+'Bieu 07'!F11</f>
        <v>23636</v>
      </c>
      <c r="G10" s="165">
        <f>'Bieu 05'!G11+'Bieu 06'!G11+'Bieu 07'!G11</f>
        <v>0</v>
      </c>
      <c r="H10" s="165">
        <f>'Bieu 05'!H11+'Bieu 06'!H11+'Bieu 07'!H11</f>
        <v>183352</v>
      </c>
      <c r="I10" s="165">
        <f>'Bieu 05'!I11+'Bieu 06'!I11+'Bieu 07'!I11</f>
        <v>28070198</v>
      </c>
      <c r="J10" s="165">
        <f>'Bieu 05'!J11+'Bieu 06'!J11+'Bieu 07'!J11</f>
        <v>25882705</v>
      </c>
      <c r="K10" s="165">
        <f>'Bieu 05'!K11+'Bieu 06'!K11+'Bieu 07'!K11</f>
        <v>1441661</v>
      </c>
      <c r="L10" s="165">
        <f>'Bieu 05'!L11+'Bieu 06'!L11+'Bieu 07'!L11</f>
        <v>745832</v>
      </c>
      <c r="M10" s="165">
        <f>'Bieu 05'!M11+'Bieu 06'!M11+'Bieu 07'!M11</f>
        <v>3597293</v>
      </c>
      <c r="N10" s="165">
        <f>'Bieu 05'!N11+'Bieu 06'!N11+'Bieu 07'!N11</f>
        <v>157326199</v>
      </c>
      <c r="O10" s="165">
        <f>'Bieu 05'!O11+'Bieu 06'!O11+'Bieu 07'!O11</f>
        <v>3000000</v>
      </c>
      <c r="P10" s="165">
        <f>'Bieu 05'!P11+'Bieu 06'!P11+'Bieu 07'!P11</f>
        <v>505288</v>
      </c>
      <c r="Q10" s="165">
        <f>'Bieu 05'!Q11+'Bieu 06'!Q11+'Bieu 07'!Q11</f>
        <v>160831487</v>
      </c>
      <c r="R10" s="186">
        <f t="shared" si="0"/>
        <v>0</v>
      </c>
      <c r="S10" s="186">
        <f t="shared" si="1"/>
        <v>0</v>
      </c>
      <c r="T10" s="186">
        <f t="shared" si="2"/>
        <v>0</v>
      </c>
      <c r="U10" s="186">
        <f t="shared" si="3"/>
        <v>0</v>
      </c>
      <c r="V10" s="186">
        <f t="shared" si="4"/>
        <v>0</v>
      </c>
    </row>
    <row r="11" spans="1:22" ht="15" customHeight="1">
      <c r="A11" s="171">
        <v>5</v>
      </c>
      <c r="B11" s="172" t="s">
        <v>71</v>
      </c>
      <c r="C11" s="173">
        <f>'Bieu 05'!C12+'Bieu 06'!C12+'Bieu 07'!C12</f>
        <v>57401838</v>
      </c>
      <c r="D11" s="173">
        <f>'Bieu 05'!D12+'Bieu 06'!D12+'Bieu 07'!D12</f>
        <v>55528515</v>
      </c>
      <c r="E11" s="173">
        <f>'Bieu 05'!E12+'Bieu 06'!E12+'Bieu 07'!E12</f>
        <v>55440000</v>
      </c>
      <c r="F11" s="173">
        <f>'Bieu 05'!F12+'Bieu 06'!F12+'Bieu 07'!F12</f>
        <v>0</v>
      </c>
      <c r="G11" s="173">
        <f>'Bieu 05'!G12+'Bieu 06'!G12+'Bieu 07'!G12</f>
        <v>0</v>
      </c>
      <c r="H11" s="173">
        <f>'Bieu 05'!H12+'Bieu 06'!H12+'Bieu 07'!H12</f>
        <v>88515</v>
      </c>
      <c r="I11" s="173">
        <f>'Bieu 05'!I12+'Bieu 06'!I12+'Bieu 07'!I12</f>
        <v>1873323</v>
      </c>
      <c r="J11" s="173">
        <f>'Bieu 05'!J12+'Bieu 06'!J12+'Bieu 07'!J12</f>
        <v>1495926</v>
      </c>
      <c r="K11" s="173">
        <f>'Bieu 05'!K12+'Bieu 06'!K12+'Bieu 07'!K12</f>
        <v>377397</v>
      </c>
      <c r="L11" s="173">
        <f>'Bieu 05'!L12+'Bieu 06'!L12+'Bieu 07'!L12</f>
        <v>0</v>
      </c>
      <c r="M11" s="173">
        <f>'Bieu 05'!M12+'Bieu 06'!M12+'Bieu 07'!M12</f>
        <v>1474805</v>
      </c>
      <c r="N11" s="173">
        <f>'Bieu 05'!N12+'Bieu 06'!N12+'Bieu 07'!N12</f>
        <v>58876643</v>
      </c>
      <c r="O11" s="173">
        <f>'Bieu 05'!O12+'Bieu 06'!O12+'Bieu 07'!O12</f>
        <v>0</v>
      </c>
      <c r="P11" s="173">
        <f>'Bieu 05'!P12+'Bieu 06'!P12+'Bieu 07'!P12</f>
        <v>0</v>
      </c>
      <c r="Q11" s="184">
        <f>'Bieu 05'!Q12+'Bieu 06'!Q12+'Bieu 07'!Q12</f>
        <v>58876643</v>
      </c>
      <c r="R11" s="185">
        <f t="shared" si="0"/>
        <v>0</v>
      </c>
      <c r="S11" s="185">
        <f t="shared" si="1"/>
        <v>0</v>
      </c>
      <c r="T11" s="185">
        <f t="shared" si="2"/>
        <v>0</v>
      </c>
      <c r="U11" s="185">
        <f t="shared" si="3"/>
        <v>0</v>
      </c>
      <c r="V11" s="185">
        <f t="shared" si="4"/>
        <v>0</v>
      </c>
    </row>
    <row r="12" spans="1:22" ht="15" customHeight="1">
      <c r="A12" s="171">
        <f aca="true" t="shared" si="5" ref="A12:A17">A11+1</f>
        <v>6</v>
      </c>
      <c r="B12" s="174" t="s">
        <v>72</v>
      </c>
      <c r="C12" s="173">
        <f>'Bieu 05'!C13+'Bieu 06'!C13+'Bieu 07'!C13</f>
        <v>27884314</v>
      </c>
      <c r="D12" s="173">
        <f>'Bieu 05'!D13+'Bieu 06'!D13+'Bieu 07'!D13</f>
        <v>6350000</v>
      </c>
      <c r="E12" s="173">
        <f>'Bieu 05'!E13+'Bieu 06'!E13+'Bieu 07'!E13</f>
        <v>6343937</v>
      </c>
      <c r="F12" s="173">
        <f>'Bieu 05'!F13+'Bieu 06'!F13+'Bieu 07'!F13</f>
        <v>0</v>
      </c>
      <c r="G12" s="173">
        <f>'Bieu 05'!G13+'Bieu 06'!G13+'Bieu 07'!G13</f>
        <v>0</v>
      </c>
      <c r="H12" s="173">
        <f>'Bieu 05'!H13+'Bieu 06'!H13+'Bieu 07'!H13</f>
        <v>6063</v>
      </c>
      <c r="I12" s="173">
        <f>'Bieu 05'!I13+'Bieu 06'!I13+'Bieu 07'!I13</f>
        <v>21534314</v>
      </c>
      <c r="J12" s="173">
        <f>'Bieu 05'!J13+'Bieu 06'!J13+'Bieu 07'!J13</f>
        <v>19785072</v>
      </c>
      <c r="K12" s="173">
        <f>'Bieu 05'!K13+'Bieu 06'!K13+'Bieu 07'!K13</f>
        <v>1003410</v>
      </c>
      <c r="L12" s="173">
        <f>'Bieu 05'!L13+'Bieu 06'!L13+'Bieu 07'!L13</f>
        <v>745832</v>
      </c>
      <c r="M12" s="173">
        <f>'Bieu 05'!M13+'Bieu 06'!M13+'Bieu 07'!M13</f>
        <v>1591708</v>
      </c>
      <c r="N12" s="173">
        <f>'Bieu 05'!N13+'Bieu 06'!N13+'Bieu 07'!N13</f>
        <v>29476022</v>
      </c>
      <c r="O12" s="173">
        <f>'Bieu 05'!O13+'Bieu 06'!O13+'Bieu 07'!O13</f>
        <v>0</v>
      </c>
      <c r="P12" s="173">
        <f>'Bieu 05'!P13+'Bieu 06'!P13+'Bieu 07'!P13</f>
        <v>0</v>
      </c>
      <c r="Q12" s="184">
        <f>'Bieu 05'!Q13+'Bieu 06'!Q13+'Bieu 07'!Q13</f>
        <v>29476022</v>
      </c>
      <c r="R12" s="185">
        <f t="shared" si="0"/>
        <v>0</v>
      </c>
      <c r="S12" s="185">
        <f t="shared" si="1"/>
        <v>0</v>
      </c>
      <c r="T12" s="185">
        <f t="shared" si="2"/>
        <v>0</v>
      </c>
      <c r="U12" s="185">
        <f t="shared" si="3"/>
        <v>0</v>
      </c>
      <c r="V12" s="185">
        <f t="shared" si="4"/>
        <v>0</v>
      </c>
    </row>
    <row r="13" spans="1:22" ht="15" customHeight="1">
      <c r="A13" s="171">
        <f t="shared" si="5"/>
        <v>7</v>
      </c>
      <c r="B13" s="174" t="s">
        <v>108</v>
      </c>
      <c r="C13" s="173">
        <f>'Bieu 05'!C14+'Bieu 06'!C14+'Bieu 07'!C14</f>
        <v>9300000</v>
      </c>
      <c r="D13" s="173">
        <f>'Bieu 05'!D14+'Bieu 06'!D14+'Bieu 07'!D14</f>
        <v>9300000</v>
      </c>
      <c r="E13" s="173">
        <f>'Bieu 05'!E14+'Bieu 06'!E14+'Bieu 07'!E14</f>
        <v>9300000</v>
      </c>
      <c r="F13" s="173">
        <f>'Bieu 05'!F14+'Bieu 06'!F14+'Bieu 07'!F14</f>
        <v>0</v>
      </c>
      <c r="G13" s="173">
        <f>'Bieu 05'!G14+'Bieu 06'!G14+'Bieu 07'!G14</f>
        <v>0</v>
      </c>
      <c r="H13" s="173">
        <f>'Bieu 05'!H14+'Bieu 06'!H14+'Bieu 07'!H14</f>
        <v>0</v>
      </c>
      <c r="I13" s="173">
        <f>'Bieu 05'!I14+'Bieu 06'!I14+'Bieu 07'!I14</f>
        <v>0</v>
      </c>
      <c r="J13" s="173">
        <f>'Bieu 05'!J14+'Bieu 06'!J14+'Bieu 07'!J14</f>
        <v>0</v>
      </c>
      <c r="K13" s="173">
        <f>'Bieu 05'!K14+'Bieu 06'!K14+'Bieu 07'!K14</f>
        <v>0</v>
      </c>
      <c r="L13" s="173">
        <f>'Bieu 05'!L14+'Bieu 06'!L14+'Bieu 07'!L14</f>
        <v>0</v>
      </c>
      <c r="M13" s="173">
        <f>'Bieu 05'!M14+'Bieu 06'!M14+'Bieu 07'!M14</f>
        <v>137419</v>
      </c>
      <c r="N13" s="184">
        <f>'Bieu 05'!N14+'Bieu 06'!N14+'Bieu 07'!N14</f>
        <v>9437419</v>
      </c>
      <c r="O13" s="173">
        <f>'Bieu 05'!O14+'Bieu 06'!O14+'Bieu 07'!O14</f>
        <v>0</v>
      </c>
      <c r="P13" s="173">
        <f>'Bieu 05'!P14+'Bieu 06'!P14+'Bieu 07'!P14</f>
        <v>479790</v>
      </c>
      <c r="Q13" s="173">
        <f>'Bieu 05'!Q14+'Bieu 06'!Q14+'Bieu 07'!Q14</f>
        <v>9917209</v>
      </c>
      <c r="R13" s="185">
        <f t="shared" si="0"/>
        <v>0</v>
      </c>
      <c r="S13" s="185">
        <f t="shared" si="1"/>
        <v>0</v>
      </c>
      <c r="T13" s="185">
        <f t="shared" si="2"/>
        <v>0</v>
      </c>
      <c r="U13" s="185">
        <f t="shared" si="3"/>
        <v>0</v>
      </c>
      <c r="V13" s="185">
        <f t="shared" si="4"/>
        <v>0</v>
      </c>
    </row>
    <row r="14" spans="1:22" ht="15" customHeight="1">
      <c r="A14" s="171">
        <f t="shared" si="5"/>
        <v>8</v>
      </c>
      <c r="B14" s="174" t="s">
        <v>73</v>
      </c>
      <c r="C14" s="173">
        <f>'Bieu 05'!C15+'Bieu 06'!C15+'Bieu 07'!C15</f>
        <v>31269118</v>
      </c>
      <c r="D14" s="173">
        <f>'Bieu 05'!D15+'Bieu 06'!D15+'Bieu 07'!D15</f>
        <v>26606557</v>
      </c>
      <c r="E14" s="173">
        <f>'Bieu 05'!E15+'Bieu 06'!E15+'Bieu 07'!E15</f>
        <v>26564000</v>
      </c>
      <c r="F14" s="173">
        <f>'Bieu 05'!F15+'Bieu 06'!F15+'Bieu 07'!F15</f>
        <v>0</v>
      </c>
      <c r="G14" s="173">
        <f>'Bieu 05'!G15+'Bieu 06'!G15+'Bieu 07'!G15</f>
        <v>0</v>
      </c>
      <c r="H14" s="173">
        <f>'Bieu 05'!H15+'Bieu 06'!H15+'Bieu 07'!H15</f>
        <v>42557</v>
      </c>
      <c r="I14" s="173">
        <f>'Bieu 05'!I15+'Bieu 06'!I15+'Bieu 07'!I15</f>
        <v>4662561</v>
      </c>
      <c r="J14" s="173">
        <f>'Bieu 05'!J15+'Bieu 06'!J15+'Bieu 07'!J15</f>
        <v>4601707</v>
      </c>
      <c r="K14" s="173">
        <f>'Bieu 05'!K15+'Bieu 06'!K15+'Bieu 07'!K15</f>
        <v>60854</v>
      </c>
      <c r="L14" s="173">
        <f>'Bieu 05'!L15+'Bieu 06'!L15+'Bieu 07'!L15</f>
        <v>0</v>
      </c>
      <c r="M14" s="173">
        <f>'Bieu 05'!M15+'Bieu 06'!M15+'Bieu 07'!M15</f>
        <v>307640</v>
      </c>
      <c r="N14" s="184">
        <f>'Bieu 05'!N15+'Bieu 06'!N15+'Bieu 07'!N15</f>
        <v>31576758</v>
      </c>
      <c r="O14" s="173">
        <f>'Bieu 05'!O15+'Bieu 06'!O15+'Bieu 07'!O15</f>
        <v>3000000</v>
      </c>
      <c r="P14" s="173">
        <f>'Bieu 05'!P15+'Bieu 06'!P15+'Bieu 07'!P15</f>
        <v>0</v>
      </c>
      <c r="Q14" s="173">
        <f>'Bieu 05'!Q15+'Bieu 06'!Q15+'Bieu 07'!Q15</f>
        <v>34576758</v>
      </c>
      <c r="R14" s="185">
        <f t="shared" si="0"/>
        <v>0</v>
      </c>
      <c r="S14" s="185">
        <f t="shared" si="1"/>
        <v>0</v>
      </c>
      <c r="T14" s="185">
        <f t="shared" si="2"/>
        <v>0</v>
      </c>
      <c r="U14" s="185">
        <f t="shared" si="3"/>
        <v>0</v>
      </c>
      <c r="V14" s="185">
        <f t="shared" si="4"/>
        <v>0</v>
      </c>
    </row>
    <row r="15" spans="1:22" ht="15" customHeight="1">
      <c r="A15" s="171">
        <f t="shared" si="5"/>
        <v>9</v>
      </c>
      <c r="B15" s="174" t="s">
        <v>75</v>
      </c>
      <c r="C15" s="173">
        <f>'Bieu 05'!C16+'Bieu 06'!C16+'Bieu 07'!C16</f>
        <v>14223636</v>
      </c>
      <c r="D15" s="173">
        <f>'Bieu 05'!D16+'Bieu 06'!D16+'Bieu 07'!D16</f>
        <v>14223636</v>
      </c>
      <c r="E15" s="173">
        <f>'Bieu 05'!E16+'Bieu 06'!E16+'Bieu 07'!E16</f>
        <v>14176364</v>
      </c>
      <c r="F15" s="173">
        <f>'Bieu 05'!F16+'Bieu 06'!F16+'Bieu 07'!F16</f>
        <v>23636</v>
      </c>
      <c r="G15" s="173">
        <f>'Bieu 05'!G16+'Bieu 06'!G16+'Bieu 07'!G16</f>
        <v>0</v>
      </c>
      <c r="H15" s="173">
        <f>'Bieu 05'!H16+'Bieu 06'!H16+'Bieu 07'!H16</f>
        <v>23636</v>
      </c>
      <c r="I15" s="173">
        <f>'Bieu 05'!I16+'Bieu 06'!I16+'Bieu 07'!I16</f>
        <v>0</v>
      </c>
      <c r="J15" s="173">
        <f>'Bieu 05'!J16+'Bieu 06'!J16+'Bieu 07'!J16</f>
        <v>0</v>
      </c>
      <c r="K15" s="173">
        <f>'Bieu 05'!K16+'Bieu 06'!K16+'Bieu 07'!K16</f>
        <v>0</v>
      </c>
      <c r="L15" s="173">
        <f>'Bieu 05'!L16+'Bieu 06'!L16+'Bieu 07'!L16</f>
        <v>0</v>
      </c>
      <c r="M15" s="173">
        <f>'Bieu 05'!M16+'Bieu 06'!M16+'Bieu 07'!M16</f>
        <v>85721</v>
      </c>
      <c r="N15" s="173">
        <f>'Bieu 05'!N16+'Bieu 06'!N16+'Bieu 07'!N16</f>
        <v>14309357</v>
      </c>
      <c r="O15" s="173">
        <f>'Bieu 05'!O16+'Bieu 06'!O16+'Bieu 07'!O16</f>
        <v>0</v>
      </c>
      <c r="P15" s="173">
        <f>'Bieu 05'!P16+'Bieu 06'!P16+'Bieu 07'!P16</f>
        <v>0</v>
      </c>
      <c r="Q15" s="184">
        <f>'Bieu 05'!Q16+'Bieu 06'!Q16+'Bieu 07'!Q16</f>
        <v>14309357</v>
      </c>
      <c r="R15" s="185">
        <f t="shared" si="0"/>
        <v>0</v>
      </c>
      <c r="S15" s="185">
        <f t="shared" si="1"/>
        <v>0</v>
      </c>
      <c r="T15" s="185">
        <f t="shared" si="2"/>
        <v>0</v>
      </c>
      <c r="U15" s="185">
        <f t="shared" si="3"/>
        <v>0</v>
      </c>
      <c r="V15" s="185">
        <f t="shared" si="4"/>
        <v>0</v>
      </c>
    </row>
    <row r="16" spans="1:22" ht="15" customHeight="1">
      <c r="A16" s="171">
        <f t="shared" si="5"/>
        <v>10</v>
      </c>
      <c r="B16" s="174" t="s">
        <v>109</v>
      </c>
      <c r="C16" s="173">
        <f>'Bieu 05'!C17+'Bieu 06'!C17+'Bieu 07'!C17</f>
        <v>13500000</v>
      </c>
      <c r="D16" s="173">
        <f>'Bieu 05'!D17+'Bieu 06'!D17+'Bieu 07'!D17</f>
        <v>13500000</v>
      </c>
      <c r="E16" s="173">
        <f>'Bieu 05'!E17+'Bieu 06'!E17+'Bieu 07'!E17</f>
        <v>13477419</v>
      </c>
      <c r="F16" s="173">
        <f>'Bieu 05'!F17+'Bieu 06'!F17+'Bieu 07'!F17</f>
        <v>0</v>
      </c>
      <c r="G16" s="173">
        <f>'Bieu 05'!G17+'Bieu 06'!G17+'Bieu 07'!G17</f>
        <v>0</v>
      </c>
      <c r="H16" s="173">
        <f>'Bieu 05'!H17+'Bieu 06'!H17+'Bieu 07'!H17</f>
        <v>22581</v>
      </c>
      <c r="I16" s="173">
        <f>'Bieu 05'!I17+'Bieu 06'!I17+'Bieu 07'!I17</f>
        <v>0</v>
      </c>
      <c r="J16" s="173">
        <f>'Bieu 05'!J17+'Bieu 06'!J17+'Bieu 07'!J17</f>
        <v>0</v>
      </c>
      <c r="K16" s="173">
        <f>'Bieu 05'!K17+'Bieu 06'!K17+'Bieu 07'!K17</f>
        <v>0</v>
      </c>
      <c r="L16" s="173">
        <f>'Bieu 05'!L17+'Bieu 06'!L17+'Bieu 07'!L17</f>
        <v>0</v>
      </c>
      <c r="M16" s="173">
        <f>'Bieu 05'!M17+'Bieu 06'!M17+'Bieu 07'!M17</f>
        <v>0</v>
      </c>
      <c r="N16" s="184">
        <f>'Bieu 05'!N17+'Bieu 06'!N17+'Bieu 07'!N17</f>
        <v>13500000</v>
      </c>
      <c r="O16" s="173">
        <f>'Bieu 05'!O17+'Bieu 06'!O17+'Bieu 07'!O17</f>
        <v>0</v>
      </c>
      <c r="P16" s="173">
        <f>'Bieu 05'!P17+'Bieu 06'!P17+'Bieu 07'!P17</f>
        <v>25498</v>
      </c>
      <c r="Q16" s="173">
        <f>'Bieu 05'!Q17+'Bieu 06'!Q17+'Bieu 07'!Q17</f>
        <v>13525498</v>
      </c>
      <c r="R16" s="185">
        <f t="shared" si="0"/>
        <v>0</v>
      </c>
      <c r="S16" s="185">
        <f t="shared" si="1"/>
        <v>0</v>
      </c>
      <c r="T16" s="185">
        <f t="shared" si="2"/>
        <v>0</v>
      </c>
      <c r="U16" s="185">
        <f t="shared" si="3"/>
        <v>0</v>
      </c>
      <c r="V16" s="185">
        <f t="shared" si="4"/>
        <v>0</v>
      </c>
    </row>
    <row r="17" spans="1:22" ht="15" customHeight="1">
      <c r="A17" s="171">
        <f t="shared" si="5"/>
        <v>11</v>
      </c>
      <c r="B17" s="177" t="s">
        <v>77</v>
      </c>
      <c r="C17" s="179">
        <f>'Bieu 05'!C18+'Bieu 06'!C18+'Bieu 07'!C18</f>
        <v>150000</v>
      </c>
      <c r="D17" s="179">
        <f>'Bieu 05'!D18+'Bieu 06'!D18+'Bieu 07'!D18</f>
        <v>150000</v>
      </c>
      <c r="E17" s="179">
        <f>'Bieu 05'!E18+'Bieu 06'!E18+'Bieu 07'!E18</f>
        <v>150000</v>
      </c>
      <c r="F17" s="179">
        <f>'Bieu 05'!F18+'Bieu 06'!F18+'Bieu 07'!F18</f>
        <v>0</v>
      </c>
      <c r="G17" s="179">
        <f>'Bieu 05'!G18+'Bieu 06'!G18+'Bieu 07'!G18</f>
        <v>0</v>
      </c>
      <c r="H17" s="179">
        <f>'Bieu 05'!H18+'Bieu 06'!H18+'Bieu 07'!H18</f>
        <v>0</v>
      </c>
      <c r="I17" s="179">
        <f>'Bieu 05'!I18+'Bieu 06'!I18+'Bieu 07'!I18</f>
        <v>0</v>
      </c>
      <c r="J17" s="179">
        <f>'Bieu 05'!J18+'Bieu 06'!J18+'Bieu 07'!J18</f>
        <v>0</v>
      </c>
      <c r="K17" s="179">
        <f>'Bieu 05'!K18+'Bieu 06'!K18+'Bieu 07'!K18</f>
        <v>0</v>
      </c>
      <c r="L17" s="179">
        <f>'Bieu 05'!L18+'Bieu 06'!L18+'Bieu 07'!L18</f>
        <v>0</v>
      </c>
      <c r="M17" s="179">
        <f>'Bieu 05'!M18+'Bieu 06'!M18+'Bieu 07'!M18</f>
        <v>0</v>
      </c>
      <c r="N17" s="179">
        <f>'Bieu 05'!N18+'Bieu 06'!N18+'Bieu 07'!N18</f>
        <v>150000</v>
      </c>
      <c r="O17" s="179">
        <f>'Bieu 05'!O18+'Bieu 06'!O18+'Bieu 07'!O18</f>
        <v>0</v>
      </c>
      <c r="P17" s="179">
        <f>'Bieu 05'!P18+'Bieu 06'!P18+'Bieu 07'!P18</f>
        <v>0</v>
      </c>
      <c r="Q17" s="187">
        <f>'Bieu 05'!Q18+'Bieu 06'!Q18+'Bieu 07'!Q18</f>
        <v>150000</v>
      </c>
      <c r="R17" s="185">
        <f t="shared" si="0"/>
        <v>0</v>
      </c>
      <c r="S17" s="185">
        <f t="shared" si="1"/>
        <v>0</v>
      </c>
      <c r="T17" s="185">
        <f t="shared" si="2"/>
        <v>0</v>
      </c>
      <c r="U17" s="185">
        <f t="shared" si="3"/>
        <v>0</v>
      </c>
      <c r="V17" s="185">
        <f t="shared" si="4"/>
        <v>0</v>
      </c>
    </row>
    <row r="18" spans="1:22" s="164" customFormat="1" ht="15" customHeight="1">
      <c r="A18" s="180" t="s">
        <v>110</v>
      </c>
      <c r="B18" s="181" t="s">
        <v>63</v>
      </c>
      <c r="C18" s="165">
        <f>'Bieu 05'!C19+'Bieu 06'!C19+'Bieu 07'!C19</f>
        <v>115042266</v>
      </c>
      <c r="D18" s="165">
        <f>'Bieu 05'!D19+'Bieu 06'!D19+'Bieu 07'!D19</f>
        <v>11400000</v>
      </c>
      <c r="E18" s="165">
        <f>'Bieu 05'!E19+'Bieu 06'!E19+'Bieu 07'!E19</f>
        <v>11400000</v>
      </c>
      <c r="F18" s="165">
        <f>'Bieu 05'!F19+'Bieu 06'!F19+'Bieu 07'!F19</f>
        <v>0</v>
      </c>
      <c r="G18" s="165">
        <f>'Bieu 05'!G19+'Bieu 06'!G19+'Bieu 07'!G19</f>
        <v>0</v>
      </c>
      <c r="H18" s="165">
        <f>'Bieu 05'!H19+'Bieu 06'!H19+'Bieu 07'!H19</f>
        <v>0</v>
      </c>
      <c r="I18" s="165">
        <f>'Bieu 05'!I19+'Bieu 06'!I19+'Bieu 07'!I19</f>
        <v>103642266</v>
      </c>
      <c r="J18" s="165">
        <f>'Bieu 05'!J19+'Bieu 06'!J19+'Bieu 07'!J19</f>
        <v>99303817</v>
      </c>
      <c r="K18" s="165">
        <f>'Bieu 05'!K19+'Bieu 06'!K19+'Bieu 07'!K19</f>
        <v>4334699</v>
      </c>
      <c r="L18" s="165">
        <f>'Bieu 05'!L19+'Bieu 06'!L19+'Bieu 07'!L19</f>
        <v>3750</v>
      </c>
      <c r="M18" s="165">
        <f>'Bieu 05'!M19+'Bieu 06'!M19+'Bieu 07'!M19</f>
        <v>4418213</v>
      </c>
      <c r="N18" s="165">
        <f>'Bieu 05'!N19+'Bieu 06'!N19+'Bieu 07'!N19</f>
        <v>119460479</v>
      </c>
      <c r="O18" s="165">
        <f>'Bieu 05'!O19+'Bieu 06'!O19+'Bieu 07'!O19</f>
        <v>5000000</v>
      </c>
      <c r="P18" s="165">
        <f>'Bieu 05'!P19+'Bieu 06'!P19+'Bieu 07'!P19</f>
        <v>1729556</v>
      </c>
      <c r="Q18" s="165">
        <f>'Bieu 05'!Q19+'Bieu 06'!Q19+'Bieu 07'!Q19</f>
        <v>126190035</v>
      </c>
      <c r="R18" s="186">
        <f t="shared" si="0"/>
        <v>0</v>
      </c>
      <c r="S18" s="186">
        <f t="shared" si="1"/>
        <v>0</v>
      </c>
      <c r="T18" s="186">
        <f t="shared" si="2"/>
        <v>0</v>
      </c>
      <c r="U18" s="186">
        <f t="shared" si="3"/>
        <v>0</v>
      </c>
      <c r="V18" s="186">
        <f t="shared" si="4"/>
        <v>0</v>
      </c>
    </row>
    <row r="19" spans="1:22" ht="15" customHeight="1">
      <c r="A19" s="171">
        <v>12</v>
      </c>
      <c r="B19" s="172" t="s">
        <v>78</v>
      </c>
      <c r="C19" s="173">
        <f>'Bieu 05'!C20+'Bieu 06'!C20+'Bieu 07'!C20</f>
        <v>7089284</v>
      </c>
      <c r="D19" s="173">
        <f>'Bieu 05'!D20+'Bieu 06'!D20+'Bieu 07'!D20</f>
        <v>6400000</v>
      </c>
      <c r="E19" s="173">
        <f>'Bieu 05'!E20+'Bieu 06'!E20+'Bieu 07'!E20</f>
        <v>6400000</v>
      </c>
      <c r="F19" s="173">
        <f>'Bieu 05'!F20+'Bieu 06'!F20+'Bieu 07'!F20</f>
        <v>0</v>
      </c>
      <c r="G19" s="173">
        <f>'Bieu 05'!G20+'Bieu 06'!G20+'Bieu 07'!G20</f>
        <v>0</v>
      </c>
      <c r="H19" s="173">
        <f>'Bieu 05'!H20+'Bieu 06'!H20+'Bieu 07'!H20</f>
        <v>0</v>
      </c>
      <c r="I19" s="173">
        <f>'Bieu 05'!I20+'Bieu 06'!I20+'Bieu 07'!I20</f>
        <v>689284</v>
      </c>
      <c r="J19" s="173">
        <f>'Bieu 05'!J20+'Bieu 06'!J20+'Bieu 07'!J20</f>
        <v>83330</v>
      </c>
      <c r="K19" s="173">
        <f>'Bieu 05'!K20+'Bieu 06'!K20+'Bieu 07'!K20</f>
        <v>602204</v>
      </c>
      <c r="L19" s="173">
        <f>'Bieu 05'!L20+'Bieu 06'!L20+'Bieu 07'!L20</f>
        <v>3750</v>
      </c>
      <c r="M19" s="173">
        <f>'Bieu 05'!M20+'Bieu 06'!M20+'Bieu 07'!M20</f>
        <v>185218</v>
      </c>
      <c r="N19" s="173">
        <f>'Bieu 05'!N20+'Bieu 06'!N20+'Bieu 07'!N20</f>
        <v>7274502</v>
      </c>
      <c r="O19" s="173">
        <f>'Bieu 05'!O20+'Bieu 06'!O20+'Bieu 07'!O20</f>
        <v>0</v>
      </c>
      <c r="P19" s="173">
        <f>'Bieu 05'!P20+'Bieu 06'!P20+'Bieu 07'!P20</f>
        <v>0</v>
      </c>
      <c r="Q19" s="184">
        <f>'Bieu 05'!Q20+'Bieu 06'!Q20+'Bieu 07'!Q20</f>
        <v>7274502</v>
      </c>
      <c r="R19" s="185">
        <f t="shared" si="0"/>
        <v>0</v>
      </c>
      <c r="S19" s="185">
        <f t="shared" si="1"/>
        <v>0</v>
      </c>
      <c r="T19" s="185">
        <f t="shared" si="2"/>
        <v>0</v>
      </c>
      <c r="U19" s="185">
        <f t="shared" si="3"/>
        <v>0</v>
      </c>
      <c r="V19" s="185">
        <f t="shared" si="4"/>
        <v>0</v>
      </c>
    </row>
    <row r="20" spans="1:22" ht="15" customHeight="1">
      <c r="A20" s="171">
        <v>13</v>
      </c>
      <c r="B20" s="174" t="s">
        <v>79</v>
      </c>
      <c r="C20" s="173">
        <f>'Bieu 05'!C21+'Bieu 06'!C21+'Bieu 07'!C21</f>
        <v>83592421</v>
      </c>
      <c r="D20" s="173">
        <f>'Bieu 05'!D21+'Bieu 06'!D21+'Bieu 07'!D21</f>
        <v>5000000</v>
      </c>
      <c r="E20" s="173">
        <f>'Bieu 05'!E21+'Bieu 06'!E21+'Bieu 07'!E21</f>
        <v>5000000</v>
      </c>
      <c r="F20" s="173">
        <f>'Bieu 05'!F21+'Bieu 06'!F21+'Bieu 07'!F21</f>
        <v>0</v>
      </c>
      <c r="G20" s="173">
        <f>'Bieu 05'!G21+'Bieu 06'!G21+'Bieu 07'!G21</f>
        <v>0</v>
      </c>
      <c r="H20" s="173">
        <f>'Bieu 05'!H21+'Bieu 06'!H21+'Bieu 07'!H21</f>
        <v>0</v>
      </c>
      <c r="I20" s="173">
        <f>'Bieu 05'!I21+'Bieu 06'!I21+'Bieu 07'!I21</f>
        <v>78592421</v>
      </c>
      <c r="J20" s="173">
        <f>'Bieu 05'!J21+'Bieu 06'!J21+'Bieu 07'!J21</f>
        <v>78564384</v>
      </c>
      <c r="K20" s="173">
        <f>'Bieu 05'!K21+'Bieu 06'!K21+'Bieu 07'!K21</f>
        <v>28037</v>
      </c>
      <c r="L20" s="173">
        <f>'Bieu 05'!L21+'Bieu 06'!L21+'Bieu 07'!L21</f>
        <v>0</v>
      </c>
      <c r="M20" s="173">
        <f>'Bieu 05'!M21+'Bieu 06'!M21+'Bieu 07'!M21</f>
        <v>4023841</v>
      </c>
      <c r="N20" s="184">
        <f>'Bieu 05'!N21+'Bieu 06'!N21+'Bieu 07'!N21</f>
        <v>87616262</v>
      </c>
      <c r="O20" s="173">
        <f>'Bieu 05'!O21+'Bieu 06'!O21+'Bieu 07'!O21</f>
        <v>0</v>
      </c>
      <c r="P20" s="173">
        <f>'Bieu 05'!P21+'Bieu 06'!P21+'Bieu 07'!P21</f>
        <v>1391323</v>
      </c>
      <c r="Q20" s="173">
        <f>'Bieu 05'!Q21+'Bieu 06'!Q21+'Bieu 07'!Q21</f>
        <v>89007585</v>
      </c>
      <c r="R20" s="185">
        <f t="shared" si="0"/>
        <v>0</v>
      </c>
      <c r="S20" s="185">
        <f t="shared" si="1"/>
        <v>0</v>
      </c>
      <c r="T20" s="185">
        <f t="shared" si="2"/>
        <v>0</v>
      </c>
      <c r="U20" s="185">
        <f t="shared" si="3"/>
        <v>0</v>
      </c>
      <c r="V20" s="185">
        <f t="shared" si="4"/>
        <v>0</v>
      </c>
    </row>
    <row r="21" spans="1:22" ht="15" customHeight="1">
      <c r="A21" s="171">
        <f>A20+1</f>
        <v>14</v>
      </c>
      <c r="B21" s="174" t="s">
        <v>111</v>
      </c>
      <c r="C21" s="173">
        <f>'Bieu 05'!C22+'Bieu 06'!C22+'Bieu 07'!C22</f>
        <v>193388</v>
      </c>
      <c r="D21" s="173">
        <f>'Bieu 05'!D22+'Bieu 06'!D22+'Bieu 07'!D22</f>
        <v>0</v>
      </c>
      <c r="E21" s="173">
        <f>'Bieu 05'!E22+'Bieu 06'!E22+'Bieu 07'!E22</f>
        <v>0</v>
      </c>
      <c r="F21" s="173">
        <f>'Bieu 05'!F22+'Bieu 06'!F22+'Bieu 07'!F22</f>
        <v>0</v>
      </c>
      <c r="G21" s="173">
        <f>'Bieu 05'!G22+'Bieu 06'!G22+'Bieu 07'!G22</f>
        <v>0</v>
      </c>
      <c r="H21" s="173">
        <f>'Bieu 05'!H22+'Bieu 06'!H22+'Bieu 07'!H22</f>
        <v>0</v>
      </c>
      <c r="I21" s="173">
        <f>'Bieu 05'!I22+'Bieu 06'!I22+'Bieu 07'!I22</f>
        <v>193388</v>
      </c>
      <c r="J21" s="173">
        <f>'Bieu 05'!J22+'Bieu 06'!J22+'Bieu 07'!J22</f>
        <v>0</v>
      </c>
      <c r="K21" s="173">
        <f>'Bieu 05'!K22+'Bieu 06'!K22+'Bieu 07'!K22</f>
        <v>193388</v>
      </c>
      <c r="L21" s="173">
        <f>'Bieu 05'!L22+'Bieu 06'!L22+'Bieu 07'!L22</f>
        <v>0</v>
      </c>
      <c r="M21" s="173">
        <f>'Bieu 05'!M22+'Bieu 06'!M22+'Bieu 07'!M22</f>
        <v>0</v>
      </c>
      <c r="N21" s="184">
        <f>'Bieu 05'!N22+'Bieu 06'!N22+'Bieu 07'!N22</f>
        <v>193388</v>
      </c>
      <c r="O21" s="173">
        <f>'Bieu 05'!O22+'Bieu 06'!O22+'Bieu 07'!O22</f>
        <v>5000000</v>
      </c>
      <c r="P21" s="173">
        <f>'Bieu 05'!P22+'Bieu 06'!P22+'Bieu 07'!P22</f>
        <v>39300</v>
      </c>
      <c r="Q21" s="173">
        <f>'Bieu 05'!Q22+'Bieu 06'!Q22+'Bieu 07'!Q22</f>
        <v>5232688</v>
      </c>
      <c r="R21" s="185">
        <f t="shared" si="0"/>
        <v>0</v>
      </c>
      <c r="S21" s="185">
        <f t="shared" si="1"/>
        <v>0</v>
      </c>
      <c r="T21" s="185">
        <f t="shared" si="2"/>
        <v>0</v>
      </c>
      <c r="U21" s="185">
        <f t="shared" si="3"/>
        <v>0</v>
      </c>
      <c r="V21" s="185">
        <f t="shared" si="4"/>
        <v>0</v>
      </c>
    </row>
    <row r="22" spans="1:22" ht="15" customHeight="1">
      <c r="A22" s="171">
        <f>A21+1</f>
        <v>15</v>
      </c>
      <c r="B22" s="174" t="s">
        <v>112</v>
      </c>
      <c r="C22" s="173">
        <f>'Bieu 05'!C23+'Bieu 06'!C23+'Bieu 07'!C23</f>
        <v>13560217</v>
      </c>
      <c r="D22" s="173">
        <f>'Bieu 05'!D23+'Bieu 06'!D23+'Bieu 07'!D23</f>
        <v>0</v>
      </c>
      <c r="E22" s="173">
        <f>'Bieu 05'!E23+'Bieu 06'!E23+'Bieu 07'!E23</f>
        <v>0</v>
      </c>
      <c r="F22" s="173">
        <f>'Bieu 05'!F23+'Bieu 06'!F23+'Bieu 07'!F23</f>
        <v>0</v>
      </c>
      <c r="G22" s="173">
        <f>'Bieu 05'!G23+'Bieu 06'!G23+'Bieu 07'!G23</f>
        <v>0</v>
      </c>
      <c r="H22" s="173">
        <f>'Bieu 05'!H23+'Bieu 06'!H23+'Bieu 07'!H23</f>
        <v>0</v>
      </c>
      <c r="I22" s="173">
        <f>'Bieu 05'!I23+'Bieu 06'!I23+'Bieu 07'!I23</f>
        <v>13560217</v>
      </c>
      <c r="J22" s="173">
        <f>'Bieu 05'!J23+'Bieu 06'!J23+'Bieu 07'!J23</f>
        <v>13560217</v>
      </c>
      <c r="K22" s="173">
        <f>'Bieu 05'!K23+'Bieu 06'!K23+'Bieu 07'!K23</f>
        <v>0</v>
      </c>
      <c r="L22" s="173">
        <f>'Bieu 05'!L23+'Bieu 06'!L23+'Bieu 07'!L23</f>
        <v>0</v>
      </c>
      <c r="M22" s="173">
        <f>'Bieu 05'!M23+'Bieu 06'!M23+'Bieu 07'!M23</f>
        <v>116068</v>
      </c>
      <c r="N22" s="184">
        <f>'Bieu 05'!N23+'Bieu 06'!N23+'Bieu 07'!N23</f>
        <v>13676285</v>
      </c>
      <c r="O22" s="173">
        <f>'Bieu 05'!O23+'Bieu 06'!O23+'Bieu 07'!O23</f>
        <v>0</v>
      </c>
      <c r="P22" s="173">
        <f>'Bieu 05'!P23+'Bieu 06'!P23+'Bieu 07'!P23</f>
        <v>298933</v>
      </c>
      <c r="Q22" s="173">
        <f>'Bieu 05'!Q23+'Bieu 06'!Q23+'Bieu 07'!Q23</f>
        <v>13975218</v>
      </c>
      <c r="R22" s="185">
        <f t="shared" si="0"/>
        <v>0</v>
      </c>
      <c r="S22" s="185">
        <f t="shared" si="1"/>
        <v>0</v>
      </c>
      <c r="T22" s="185">
        <f t="shared" si="2"/>
        <v>0</v>
      </c>
      <c r="U22" s="185">
        <f t="shared" si="3"/>
        <v>0</v>
      </c>
      <c r="V22" s="185">
        <f t="shared" si="4"/>
        <v>0</v>
      </c>
    </row>
    <row r="23" spans="1:22" ht="15" customHeight="1">
      <c r="A23" s="171">
        <f>A22+1</f>
        <v>16</v>
      </c>
      <c r="B23" s="177" t="s">
        <v>81</v>
      </c>
      <c r="C23" s="179">
        <f>'Bieu 05'!C24+'Bieu 06'!C24+'Bieu 07'!C24</f>
        <v>10606956</v>
      </c>
      <c r="D23" s="179">
        <f>'Bieu 05'!D24+'Bieu 06'!D24+'Bieu 07'!D24</f>
        <v>0</v>
      </c>
      <c r="E23" s="179">
        <f>'Bieu 05'!E24+'Bieu 06'!E24+'Bieu 07'!E24</f>
        <v>0</v>
      </c>
      <c r="F23" s="179">
        <f>'Bieu 05'!F24+'Bieu 06'!F24+'Bieu 07'!F24</f>
        <v>0</v>
      </c>
      <c r="G23" s="179">
        <f>'Bieu 05'!G24+'Bieu 06'!G24+'Bieu 07'!G24</f>
        <v>0</v>
      </c>
      <c r="H23" s="179">
        <f>'Bieu 05'!H24+'Bieu 06'!H24+'Bieu 07'!H24</f>
        <v>0</v>
      </c>
      <c r="I23" s="179">
        <f>'Bieu 05'!I24+'Bieu 06'!I24+'Bieu 07'!I24</f>
        <v>10606956</v>
      </c>
      <c r="J23" s="179">
        <f>'Bieu 05'!J24+'Bieu 06'!J24+'Bieu 07'!J24</f>
        <v>7095886</v>
      </c>
      <c r="K23" s="179">
        <f>'Bieu 05'!K24+'Bieu 06'!K24+'Bieu 07'!K24</f>
        <v>3511070</v>
      </c>
      <c r="L23" s="179">
        <f>'Bieu 05'!L24+'Bieu 06'!L24+'Bieu 07'!L24</f>
        <v>0</v>
      </c>
      <c r="M23" s="179">
        <f>'Bieu 05'!M24+'Bieu 06'!M24+'Bieu 07'!M24</f>
        <v>93086</v>
      </c>
      <c r="N23" s="179">
        <f>'Bieu 05'!N24+'Bieu 06'!N24+'Bieu 07'!N24</f>
        <v>10700042</v>
      </c>
      <c r="O23" s="179">
        <f>'Bieu 05'!O24+'Bieu 06'!O24+'Bieu 07'!O24</f>
        <v>0</v>
      </c>
      <c r="P23" s="179">
        <f>'Bieu 05'!P24+'Bieu 06'!P24+'Bieu 07'!P24</f>
        <v>0</v>
      </c>
      <c r="Q23" s="187">
        <f>'Bieu 05'!Q24+'Bieu 06'!Q24+'Bieu 07'!Q24</f>
        <v>10700042</v>
      </c>
      <c r="R23" s="185">
        <f t="shared" si="0"/>
        <v>0</v>
      </c>
      <c r="S23" s="185">
        <f t="shared" si="1"/>
        <v>0</v>
      </c>
      <c r="T23" s="185">
        <f t="shared" si="2"/>
        <v>0</v>
      </c>
      <c r="U23" s="185">
        <f t="shared" si="3"/>
        <v>0</v>
      </c>
      <c r="V23" s="185">
        <f t="shared" si="4"/>
        <v>0</v>
      </c>
    </row>
    <row r="24" spans="1:22" s="164" customFormat="1" ht="15" customHeight="1">
      <c r="A24" s="180" t="s">
        <v>113</v>
      </c>
      <c r="B24" s="181" t="s">
        <v>64</v>
      </c>
      <c r="C24" s="165">
        <f>'Bieu 05'!C25+'Bieu 06'!C25+'Bieu 07'!C25</f>
        <v>144589494</v>
      </c>
      <c r="D24" s="165">
        <f>'Bieu 05'!D25+'Bieu 06'!D25+'Bieu 07'!D25</f>
        <v>45768187</v>
      </c>
      <c r="E24" s="165">
        <f>'Bieu 05'!E25+'Bieu 06'!E25+'Bieu 07'!E25</f>
        <v>44936480</v>
      </c>
      <c r="F24" s="165">
        <f>'Bieu 05'!F25+'Bieu 06'!F25+'Bieu 07'!F25</f>
        <v>796632</v>
      </c>
      <c r="G24" s="165">
        <f>'Bieu 05'!G25+'Bieu 06'!G25+'Bieu 07'!G25</f>
        <v>0</v>
      </c>
      <c r="H24" s="165">
        <f>'Bieu 05'!H25+'Bieu 06'!H25+'Bieu 07'!H25</f>
        <v>35075</v>
      </c>
      <c r="I24" s="165">
        <f>'Bieu 05'!I25+'Bieu 06'!I25+'Bieu 07'!I25</f>
        <v>98821307</v>
      </c>
      <c r="J24" s="165">
        <f>'Bieu 05'!J25+'Bieu 06'!J25+'Bieu 07'!J25</f>
        <v>97155496</v>
      </c>
      <c r="K24" s="165">
        <f>'Bieu 05'!K25+'Bieu 06'!K25+'Bieu 07'!K25</f>
        <v>1665811</v>
      </c>
      <c r="L24" s="165">
        <f>'Bieu 05'!L25+'Bieu 06'!L25+'Bieu 07'!L25</f>
        <v>0</v>
      </c>
      <c r="M24" s="165">
        <f>'Bieu 05'!M25+'Bieu 06'!M25+'Bieu 07'!M25</f>
        <v>5979120</v>
      </c>
      <c r="N24" s="165">
        <f>'Bieu 05'!N25+'Bieu 06'!N25+'Bieu 07'!N25</f>
        <v>150568614</v>
      </c>
      <c r="O24" s="165">
        <f>'Bieu 05'!O25+'Bieu 06'!O25+'Bieu 07'!O25</f>
        <v>1175200</v>
      </c>
      <c r="P24" s="165">
        <f>'Bieu 05'!P25+'Bieu 06'!P25+'Bieu 07'!P25</f>
        <v>8065173</v>
      </c>
      <c r="Q24" s="165">
        <f>'Bieu 05'!Q25+'Bieu 06'!Q25+'Bieu 07'!Q25</f>
        <v>159808987</v>
      </c>
      <c r="R24" s="186">
        <f t="shared" si="0"/>
        <v>0</v>
      </c>
      <c r="S24" s="186">
        <f t="shared" si="1"/>
        <v>0</v>
      </c>
      <c r="T24" s="186">
        <f t="shared" si="2"/>
        <v>0</v>
      </c>
      <c r="U24" s="186">
        <f t="shared" si="3"/>
        <v>0</v>
      </c>
      <c r="V24" s="186">
        <f t="shared" si="4"/>
        <v>0</v>
      </c>
    </row>
    <row r="25" spans="1:22" ht="15" customHeight="1">
      <c r="A25" s="171">
        <v>17</v>
      </c>
      <c r="B25" s="172" t="s">
        <v>114</v>
      </c>
      <c r="C25" s="173">
        <f>'Bieu 05'!C26+'Bieu 06'!C26+'Bieu 07'!C26</f>
        <v>100889270</v>
      </c>
      <c r="D25" s="173">
        <f>'Bieu 05'!D26+'Bieu 06'!D26+'Bieu 07'!D26</f>
        <v>6746000</v>
      </c>
      <c r="E25" s="173">
        <f>'Bieu 05'!E26+'Bieu 06'!E26+'Bieu 07'!E26</f>
        <v>6746000</v>
      </c>
      <c r="F25" s="173">
        <f>'Bieu 05'!F26+'Bieu 06'!F26+'Bieu 07'!F26</f>
        <v>0</v>
      </c>
      <c r="G25" s="173">
        <f>'Bieu 05'!G26+'Bieu 06'!G26+'Bieu 07'!G26</f>
        <v>0</v>
      </c>
      <c r="H25" s="173">
        <f>'Bieu 05'!H26+'Bieu 06'!H26+'Bieu 07'!H26</f>
        <v>0</v>
      </c>
      <c r="I25" s="173">
        <f>'Bieu 05'!I26+'Bieu 06'!I26+'Bieu 07'!I26</f>
        <v>94143270</v>
      </c>
      <c r="J25" s="173">
        <f>'Bieu 05'!J26+'Bieu 06'!J26+'Bieu 07'!J26</f>
        <v>93777996</v>
      </c>
      <c r="K25" s="173">
        <f>'Bieu 05'!K26+'Bieu 06'!K26+'Bieu 07'!K26</f>
        <v>365274</v>
      </c>
      <c r="L25" s="173">
        <f>'Bieu 05'!L26+'Bieu 06'!L26+'Bieu 07'!L26</f>
        <v>0</v>
      </c>
      <c r="M25" s="173">
        <f>'Bieu 05'!M26+'Bieu 06'!M26+'Bieu 07'!M26</f>
        <v>5293107</v>
      </c>
      <c r="N25" s="184">
        <f>'Bieu 05'!N26+'Bieu 06'!N26+'Bieu 07'!N26</f>
        <v>106182377</v>
      </c>
      <c r="O25" s="173">
        <f>'Bieu 05'!O26+'Bieu 06'!O26+'Bieu 07'!O26</f>
        <v>1000000</v>
      </c>
      <c r="P25" s="173">
        <f>'Bieu 05'!P26+'Bieu 06'!P26+'Bieu 07'!P26</f>
        <v>8065173</v>
      </c>
      <c r="Q25" s="173">
        <f>'Bieu 05'!Q26+'Bieu 06'!Q26+'Bieu 07'!Q26</f>
        <v>115247550</v>
      </c>
      <c r="R25" s="185">
        <f t="shared" si="0"/>
        <v>0</v>
      </c>
      <c r="S25" s="185">
        <f t="shared" si="1"/>
        <v>0</v>
      </c>
      <c r="T25" s="185">
        <f t="shared" si="2"/>
        <v>0</v>
      </c>
      <c r="U25" s="185">
        <f t="shared" si="3"/>
        <v>0</v>
      </c>
      <c r="V25" s="185">
        <f t="shared" si="4"/>
        <v>0</v>
      </c>
    </row>
    <row r="26" spans="1:22" ht="15" customHeight="1">
      <c r="A26" s="171">
        <f aca="true" t="shared" si="6" ref="A26:A31">A25+1</f>
        <v>18</v>
      </c>
      <c r="B26" s="174" t="s">
        <v>115</v>
      </c>
      <c r="C26" s="173">
        <f>'Bieu 05'!C27+'Bieu 06'!C27+'Bieu 07'!C27</f>
        <v>1766116</v>
      </c>
      <c r="D26" s="173">
        <f>'Bieu 05'!D27+'Bieu 06'!D27+'Bieu 07'!D27</f>
        <v>0</v>
      </c>
      <c r="E26" s="173">
        <f>'Bieu 05'!E27+'Bieu 06'!E27+'Bieu 07'!E27</f>
        <v>0</v>
      </c>
      <c r="F26" s="173">
        <f>'Bieu 05'!F27+'Bieu 06'!F27+'Bieu 07'!F27</f>
        <v>0</v>
      </c>
      <c r="G26" s="173">
        <f>'Bieu 05'!G27+'Bieu 06'!G27+'Bieu 07'!G27</f>
        <v>0</v>
      </c>
      <c r="H26" s="173">
        <f>'Bieu 05'!H27+'Bieu 06'!H27+'Bieu 07'!H27</f>
        <v>0</v>
      </c>
      <c r="I26" s="173">
        <f>'Bieu 05'!I27+'Bieu 06'!I27+'Bieu 07'!I27</f>
        <v>1766116</v>
      </c>
      <c r="J26" s="173">
        <f>'Bieu 05'!J27+'Bieu 06'!J27+'Bieu 07'!J27</f>
        <v>1766116</v>
      </c>
      <c r="K26" s="173">
        <f>'Bieu 05'!K27+'Bieu 06'!K27+'Bieu 07'!K27</f>
        <v>0</v>
      </c>
      <c r="L26" s="173">
        <f>'Bieu 05'!L27+'Bieu 06'!L27+'Bieu 07'!L27</f>
        <v>0</v>
      </c>
      <c r="M26" s="173">
        <f>'Bieu 05'!M27+'Bieu 06'!M27+'Bieu 07'!M27</f>
        <v>0</v>
      </c>
      <c r="N26" s="173">
        <f>'Bieu 05'!N27+'Bieu 06'!N27+'Bieu 07'!N27</f>
        <v>1766116</v>
      </c>
      <c r="O26" s="184">
        <f>'Bieu 05'!O27+'Bieu 06'!O27+'Bieu 07'!O27</f>
        <v>25200</v>
      </c>
      <c r="P26" s="173">
        <f>'Bieu 05'!P27+'Bieu 06'!P27+'Bieu 07'!P27</f>
        <v>0</v>
      </c>
      <c r="Q26" s="184">
        <f>'Bieu 05'!Q27+'Bieu 06'!Q27+'Bieu 07'!Q27</f>
        <v>1791316</v>
      </c>
      <c r="R26" s="185">
        <f t="shared" si="0"/>
        <v>0</v>
      </c>
      <c r="S26" s="185">
        <f t="shared" si="1"/>
        <v>0</v>
      </c>
      <c r="T26" s="185">
        <f t="shared" si="2"/>
        <v>0</v>
      </c>
      <c r="U26" s="185">
        <f t="shared" si="3"/>
        <v>0</v>
      </c>
      <c r="V26" s="185">
        <f t="shared" si="4"/>
        <v>0</v>
      </c>
    </row>
    <row r="27" spans="1:22" ht="15" customHeight="1">
      <c r="A27" s="171">
        <f t="shared" si="6"/>
        <v>19</v>
      </c>
      <c r="B27" s="174" t="s">
        <v>116</v>
      </c>
      <c r="C27" s="173">
        <f>'Bieu 05'!C28+'Bieu 06'!C28+'Bieu 07'!C28</f>
        <v>0</v>
      </c>
      <c r="D27" s="173">
        <f>'Bieu 05'!D28+'Bieu 06'!D28+'Bieu 07'!D28</f>
        <v>0</v>
      </c>
      <c r="E27" s="173">
        <f>'Bieu 05'!E28+'Bieu 06'!E28+'Bieu 07'!E28</f>
        <v>0</v>
      </c>
      <c r="F27" s="173">
        <f>'Bieu 05'!F28+'Bieu 06'!F28+'Bieu 07'!F28</f>
        <v>0</v>
      </c>
      <c r="G27" s="173">
        <f>'Bieu 05'!G28+'Bieu 06'!G28+'Bieu 07'!G28</f>
        <v>0</v>
      </c>
      <c r="H27" s="173">
        <f>'Bieu 05'!H28+'Bieu 06'!H28+'Bieu 07'!H28</f>
        <v>0</v>
      </c>
      <c r="I27" s="173">
        <f>'Bieu 05'!I28+'Bieu 06'!I28+'Bieu 07'!I28</f>
        <v>0</v>
      </c>
      <c r="J27" s="173">
        <f>'Bieu 05'!J28+'Bieu 06'!J28+'Bieu 07'!J28</f>
        <v>0</v>
      </c>
      <c r="K27" s="173">
        <f>'Bieu 05'!K28+'Bieu 06'!K28+'Bieu 07'!K28</f>
        <v>0</v>
      </c>
      <c r="L27" s="173">
        <f>'Bieu 05'!L28+'Bieu 06'!L28+'Bieu 07'!L28</f>
        <v>0</v>
      </c>
      <c r="M27" s="173">
        <f>'Bieu 05'!M28+'Bieu 06'!M28+'Bieu 07'!M28</f>
        <v>0</v>
      </c>
      <c r="N27" s="173">
        <f>'Bieu 05'!N28+'Bieu 06'!N28+'Bieu 07'!N28</f>
        <v>0</v>
      </c>
      <c r="O27" s="184">
        <f>'Bieu 05'!O28+'Bieu 06'!O28+'Bieu 07'!O28</f>
        <v>0</v>
      </c>
      <c r="P27" s="173">
        <f>'Bieu 05'!P28+'Bieu 06'!P28+'Bieu 07'!P28</f>
        <v>0</v>
      </c>
      <c r="Q27" s="173">
        <f>'Bieu 05'!Q28+'Bieu 06'!Q28+'Bieu 07'!Q28</f>
        <v>0</v>
      </c>
      <c r="R27" s="185">
        <f t="shared" si="0"/>
        <v>0</v>
      </c>
      <c r="S27" s="185">
        <f t="shared" si="1"/>
        <v>0</v>
      </c>
      <c r="T27" s="185">
        <f t="shared" si="2"/>
        <v>0</v>
      </c>
      <c r="U27" s="185">
        <f t="shared" si="3"/>
        <v>0</v>
      </c>
      <c r="V27" s="185">
        <f t="shared" si="4"/>
        <v>0</v>
      </c>
    </row>
    <row r="28" spans="1:22" ht="15" customHeight="1">
      <c r="A28" s="171">
        <f t="shared" si="6"/>
        <v>20</v>
      </c>
      <c r="B28" s="174" t="s">
        <v>84</v>
      </c>
      <c r="C28" s="173">
        <f>'Bieu 05'!C29+'Bieu 06'!C29+'Bieu 07'!C29</f>
        <v>160242</v>
      </c>
      <c r="D28" s="173">
        <f>'Bieu 05'!D29+'Bieu 06'!D29+'Bieu 07'!D29</f>
        <v>160242</v>
      </c>
      <c r="E28" s="173">
        <f>'Bieu 05'!E29+'Bieu 06'!E29+'Bieu 07'!E29</f>
        <v>160000</v>
      </c>
      <c r="F28" s="173">
        <f>'Bieu 05'!F29+'Bieu 06'!F29+'Bieu 07'!F29</f>
        <v>0</v>
      </c>
      <c r="G28" s="173">
        <f>'Bieu 05'!G29+'Bieu 06'!G29+'Bieu 07'!G29</f>
        <v>0</v>
      </c>
      <c r="H28" s="173">
        <f>'Bieu 05'!H29+'Bieu 06'!H29+'Bieu 07'!H29</f>
        <v>242</v>
      </c>
      <c r="I28" s="173">
        <f>'Bieu 05'!I29+'Bieu 06'!I29+'Bieu 07'!I29</f>
        <v>0</v>
      </c>
      <c r="J28" s="173">
        <f>'Bieu 05'!J29+'Bieu 06'!J29+'Bieu 07'!J29</f>
        <v>0</v>
      </c>
      <c r="K28" s="173">
        <f>'Bieu 05'!K29+'Bieu 06'!K29+'Bieu 07'!K29</f>
        <v>0</v>
      </c>
      <c r="L28" s="173">
        <f>'Bieu 05'!L29+'Bieu 06'!L29+'Bieu 07'!L29</f>
        <v>0</v>
      </c>
      <c r="M28" s="173">
        <f>'Bieu 05'!M29+'Bieu 06'!M29+'Bieu 07'!M29</f>
        <v>0</v>
      </c>
      <c r="N28" s="173">
        <f>'Bieu 05'!N29+'Bieu 06'!N29+'Bieu 07'!N29</f>
        <v>160242</v>
      </c>
      <c r="O28" s="184">
        <f>'Bieu 05'!O29+'Bieu 06'!O29+'Bieu 07'!O29</f>
        <v>0</v>
      </c>
      <c r="P28" s="173">
        <f>'Bieu 05'!P29+'Bieu 06'!P29+'Bieu 07'!P29</f>
        <v>0</v>
      </c>
      <c r="Q28" s="184">
        <f>'Bieu 05'!Q29+'Bieu 06'!Q29+'Bieu 07'!Q29</f>
        <v>160242</v>
      </c>
      <c r="R28" s="185">
        <f t="shared" si="0"/>
        <v>0</v>
      </c>
      <c r="S28" s="185">
        <f t="shared" si="1"/>
        <v>0</v>
      </c>
      <c r="T28" s="185">
        <f t="shared" si="2"/>
        <v>0</v>
      </c>
      <c r="U28" s="185">
        <f t="shared" si="3"/>
        <v>0</v>
      </c>
      <c r="V28" s="185">
        <f t="shared" si="4"/>
        <v>0</v>
      </c>
    </row>
    <row r="29" spans="1:22" ht="15" customHeight="1">
      <c r="A29" s="171">
        <f t="shared" si="6"/>
        <v>21</v>
      </c>
      <c r="B29" s="174" t="s">
        <v>83</v>
      </c>
      <c r="C29" s="173">
        <f>'Bieu 05'!C30+'Bieu 06'!C30+'Bieu 07'!C30</f>
        <v>2243550</v>
      </c>
      <c r="D29" s="173">
        <f>'Bieu 05'!D30+'Bieu 06'!D30+'Bieu 07'!D30</f>
        <v>1361945</v>
      </c>
      <c r="E29" s="173">
        <f>'Bieu 05'!E30+'Bieu 06'!E30+'Bieu 07'!E30</f>
        <v>1360000</v>
      </c>
      <c r="F29" s="173">
        <f>'Bieu 05'!F30+'Bieu 06'!F30+'Bieu 07'!F30</f>
        <v>0</v>
      </c>
      <c r="G29" s="173">
        <f>'Bieu 05'!G30+'Bieu 06'!G30+'Bieu 07'!G30</f>
        <v>0</v>
      </c>
      <c r="H29" s="173">
        <f>'Bieu 05'!H30+'Bieu 06'!H30+'Bieu 07'!H30</f>
        <v>1945</v>
      </c>
      <c r="I29" s="173">
        <f>'Bieu 05'!I30+'Bieu 06'!I30+'Bieu 07'!I30</f>
        <v>881605</v>
      </c>
      <c r="J29" s="173">
        <f>'Bieu 05'!J30+'Bieu 06'!J30+'Bieu 07'!J30</f>
        <v>0</v>
      </c>
      <c r="K29" s="173">
        <f>'Bieu 05'!K30+'Bieu 06'!K30+'Bieu 07'!K30</f>
        <v>881605</v>
      </c>
      <c r="L29" s="173">
        <f>'Bieu 05'!L30+'Bieu 06'!L30+'Bieu 07'!L30</f>
        <v>0</v>
      </c>
      <c r="M29" s="173">
        <f>'Bieu 05'!M30+'Bieu 06'!M30+'Bieu 07'!M30</f>
        <v>74133</v>
      </c>
      <c r="N29" s="173">
        <f>'Bieu 05'!N30+'Bieu 06'!N30+'Bieu 07'!N30</f>
        <v>2317683</v>
      </c>
      <c r="O29" s="184">
        <f>'Bieu 05'!O30+'Bieu 06'!O30+'Bieu 07'!O30</f>
        <v>150000</v>
      </c>
      <c r="P29" s="173">
        <f>'Bieu 05'!P30+'Bieu 06'!P30+'Bieu 07'!P30</f>
        <v>0</v>
      </c>
      <c r="Q29" s="184">
        <f>'Bieu 05'!Q30+'Bieu 06'!Q30+'Bieu 07'!Q30</f>
        <v>2467683</v>
      </c>
      <c r="R29" s="185">
        <f t="shared" si="0"/>
        <v>0</v>
      </c>
      <c r="S29" s="185">
        <f t="shared" si="1"/>
        <v>0</v>
      </c>
      <c r="T29" s="185">
        <f t="shared" si="2"/>
        <v>0</v>
      </c>
      <c r="U29" s="185">
        <f t="shared" si="3"/>
        <v>0</v>
      </c>
      <c r="V29" s="185">
        <f t="shared" si="4"/>
        <v>0</v>
      </c>
    </row>
    <row r="30" spans="1:22" ht="15" customHeight="1">
      <c r="A30" s="171">
        <f t="shared" si="6"/>
        <v>22</v>
      </c>
      <c r="B30" s="174" t="s">
        <v>85</v>
      </c>
      <c r="C30" s="173">
        <f>'Bieu 05'!C31+'Bieu 06'!C31+'Bieu 07'!C31</f>
        <v>38296724</v>
      </c>
      <c r="D30" s="173">
        <f>'Bieu 05'!D31+'Bieu 06'!D31+'Bieu 07'!D31</f>
        <v>37500000</v>
      </c>
      <c r="E30" s="173">
        <f>'Bieu 05'!E31+'Bieu 06'!E31+'Bieu 07'!E31</f>
        <v>36670480</v>
      </c>
      <c r="F30" s="173">
        <f>'Bieu 05'!F31+'Bieu 06'!F31+'Bieu 07'!F31</f>
        <v>796632</v>
      </c>
      <c r="G30" s="173">
        <f>'Bieu 05'!G31+'Bieu 06'!G31+'Bieu 07'!G31</f>
        <v>0</v>
      </c>
      <c r="H30" s="173">
        <f>'Bieu 05'!H31+'Bieu 06'!H31+'Bieu 07'!H31</f>
        <v>32888</v>
      </c>
      <c r="I30" s="173">
        <f>'Bieu 05'!I31+'Bieu 06'!I31+'Bieu 07'!I31</f>
        <v>796724</v>
      </c>
      <c r="J30" s="173">
        <f>'Bieu 05'!J31+'Bieu 06'!J31+'Bieu 07'!J31</f>
        <v>796724</v>
      </c>
      <c r="K30" s="173">
        <f>'Bieu 05'!K31+'Bieu 06'!K31+'Bieu 07'!K31</f>
        <v>0</v>
      </c>
      <c r="L30" s="173">
        <f>'Bieu 05'!L31+'Bieu 06'!L31+'Bieu 07'!L31</f>
        <v>0</v>
      </c>
      <c r="M30" s="173">
        <f>'Bieu 05'!M31+'Bieu 06'!M31+'Bieu 07'!M31</f>
        <v>611880</v>
      </c>
      <c r="N30" s="173">
        <f>'Bieu 05'!N31+'Bieu 06'!N31+'Bieu 07'!N31</f>
        <v>38908604</v>
      </c>
      <c r="O30" s="173">
        <f>'Bieu 05'!O31+'Bieu 06'!O31+'Bieu 07'!O31</f>
        <v>0</v>
      </c>
      <c r="P30" s="173">
        <f>'Bieu 05'!P31+'Bieu 06'!P31+'Bieu 07'!P31</f>
        <v>0</v>
      </c>
      <c r="Q30" s="184">
        <f>'Bieu 05'!Q31+'Bieu 06'!Q31+'Bieu 07'!Q31</f>
        <v>38908604</v>
      </c>
      <c r="R30" s="185">
        <f t="shared" si="0"/>
        <v>0</v>
      </c>
      <c r="S30" s="185">
        <f>I30-J30-K30-L30</f>
        <v>0</v>
      </c>
      <c r="T30" s="185">
        <f t="shared" si="2"/>
        <v>0</v>
      </c>
      <c r="U30" s="185">
        <f t="shared" si="3"/>
        <v>0</v>
      </c>
      <c r="V30" s="185">
        <f t="shared" si="4"/>
        <v>0</v>
      </c>
    </row>
    <row r="31" spans="1:22" ht="15" customHeight="1">
      <c r="A31" s="171">
        <f t="shared" si="6"/>
        <v>23</v>
      </c>
      <c r="B31" s="177" t="s">
        <v>86</v>
      </c>
      <c r="C31" s="179">
        <f>'Bieu 05'!C32+'Bieu 06'!C32+'Bieu 07'!C32</f>
        <v>1233592</v>
      </c>
      <c r="D31" s="179">
        <f>'Bieu 05'!D32+'Bieu 06'!D32+'Bieu 07'!D32</f>
        <v>0</v>
      </c>
      <c r="E31" s="179">
        <f>'Bieu 05'!E32+'Bieu 06'!E32+'Bieu 07'!E32</f>
        <v>0</v>
      </c>
      <c r="F31" s="179">
        <f>'Bieu 05'!F32+'Bieu 06'!F32+'Bieu 07'!F32</f>
        <v>0</v>
      </c>
      <c r="G31" s="179">
        <f>'Bieu 05'!G32+'Bieu 06'!G32+'Bieu 07'!G32</f>
        <v>0</v>
      </c>
      <c r="H31" s="179">
        <f>'Bieu 05'!H32+'Bieu 06'!H32+'Bieu 07'!H32</f>
        <v>0</v>
      </c>
      <c r="I31" s="179">
        <f>'Bieu 05'!I32+'Bieu 06'!I32+'Bieu 07'!I32</f>
        <v>1233592</v>
      </c>
      <c r="J31" s="179">
        <f>'Bieu 05'!J32+'Bieu 06'!J32+'Bieu 07'!J32</f>
        <v>814660</v>
      </c>
      <c r="K31" s="179">
        <f>'Bieu 05'!K32+'Bieu 06'!K32+'Bieu 07'!K32</f>
        <v>418932</v>
      </c>
      <c r="L31" s="179">
        <f>'Bieu 05'!L32+'Bieu 06'!L32+'Bieu 07'!L32</f>
        <v>0</v>
      </c>
      <c r="M31" s="179">
        <f>'Bieu 05'!M32+'Bieu 06'!M32+'Bieu 07'!M32</f>
        <v>0</v>
      </c>
      <c r="N31" s="179">
        <f>'Bieu 05'!N32+'Bieu 06'!N32+'Bieu 07'!N32</f>
        <v>1233592</v>
      </c>
      <c r="O31" s="179">
        <f>'Bieu 05'!O32+'Bieu 06'!O32+'Bieu 07'!O32</f>
        <v>0</v>
      </c>
      <c r="P31" s="179">
        <f>'Bieu 05'!P32+'Bieu 06'!P32+'Bieu 07'!P32</f>
        <v>0</v>
      </c>
      <c r="Q31" s="187">
        <f>'Bieu 05'!Q32+'Bieu 06'!Q32+'Bieu 07'!Q32</f>
        <v>1233592</v>
      </c>
      <c r="R31" s="185">
        <f t="shared" si="0"/>
        <v>0</v>
      </c>
      <c r="S31" s="185">
        <f t="shared" si="1"/>
        <v>0</v>
      </c>
      <c r="T31" s="185">
        <f t="shared" si="2"/>
        <v>0</v>
      </c>
      <c r="U31" s="185">
        <f t="shared" si="3"/>
        <v>0</v>
      </c>
      <c r="V31" s="185">
        <f t="shared" si="4"/>
        <v>0</v>
      </c>
    </row>
    <row r="32" spans="1:22" s="164" customFormat="1" ht="15" customHeight="1">
      <c r="A32" s="180" t="s">
        <v>117</v>
      </c>
      <c r="B32" s="181" t="s">
        <v>65</v>
      </c>
      <c r="C32" s="165">
        <f>'Bieu 05'!C33+'Bieu 06'!C33+'Bieu 07'!C33</f>
        <v>955057843</v>
      </c>
      <c r="D32" s="165">
        <f>'Bieu 05'!D33+'Bieu 06'!D33+'Bieu 07'!D33</f>
        <v>703510239</v>
      </c>
      <c r="E32" s="165">
        <f>'Bieu 05'!E33+'Bieu 06'!E33+'Bieu 07'!E33</f>
        <v>680115228</v>
      </c>
      <c r="F32" s="165">
        <f>'Bieu 05'!F33+'Bieu 06'!F33+'Bieu 07'!F33</f>
        <v>22784772</v>
      </c>
      <c r="G32" s="165">
        <f>'Bieu 05'!G33+'Bieu 06'!G33+'Bieu 07'!G33</f>
        <v>0</v>
      </c>
      <c r="H32" s="165">
        <f>'Bieu 05'!H33+'Bieu 06'!H33+'Bieu 07'!H33</f>
        <v>610239</v>
      </c>
      <c r="I32" s="165">
        <f>'Bieu 05'!I33+'Bieu 06'!I33+'Bieu 07'!I33</f>
        <v>251547604</v>
      </c>
      <c r="J32" s="165">
        <f>'Bieu 05'!J33+'Bieu 06'!J33+'Bieu 07'!J33</f>
        <v>247134001</v>
      </c>
      <c r="K32" s="165">
        <f>'Bieu 05'!K33+'Bieu 06'!K33+'Bieu 07'!K33</f>
        <v>2388344</v>
      </c>
      <c r="L32" s="165">
        <f>'Bieu 05'!L33+'Bieu 06'!L33+'Bieu 07'!L33</f>
        <v>2025259</v>
      </c>
      <c r="M32" s="165">
        <f>'Bieu 05'!M33+'Bieu 06'!M33+'Bieu 07'!M33</f>
        <v>14347300</v>
      </c>
      <c r="N32" s="165">
        <f>'Bieu 05'!N33+'Bieu 06'!N33+'Bieu 07'!N33</f>
        <v>969405143</v>
      </c>
      <c r="O32" s="165">
        <f>'Bieu 05'!O33+'Bieu 06'!O33+'Bieu 07'!O33</f>
        <v>7500000</v>
      </c>
      <c r="P32" s="165">
        <f>'Bieu 05'!P33+'Bieu 06'!P33+'Bieu 07'!P33</f>
        <v>11223942</v>
      </c>
      <c r="Q32" s="165">
        <f>'Bieu 05'!Q33+'Bieu 06'!Q33+'Bieu 07'!Q33</f>
        <v>988129085</v>
      </c>
      <c r="R32" s="186">
        <f t="shared" si="0"/>
        <v>0</v>
      </c>
      <c r="S32" s="186">
        <f t="shared" si="1"/>
        <v>0</v>
      </c>
      <c r="T32" s="186">
        <f t="shared" si="2"/>
        <v>0</v>
      </c>
      <c r="U32" s="186">
        <f t="shared" si="3"/>
        <v>0</v>
      </c>
      <c r="V32" s="186">
        <f t="shared" si="4"/>
        <v>0</v>
      </c>
    </row>
    <row r="33" spans="1:22" ht="15" customHeight="1">
      <c r="A33" s="171">
        <v>24</v>
      </c>
      <c r="B33" s="172" t="s">
        <v>87</v>
      </c>
      <c r="C33" s="173">
        <f>'Bieu 05'!C34+'Bieu 06'!C34+'Bieu 07'!C34</f>
        <v>284253266</v>
      </c>
      <c r="D33" s="173">
        <f>'Bieu 05'!D34+'Bieu 06'!D34+'Bieu 07'!D34</f>
        <v>265000000</v>
      </c>
      <c r="E33" s="173">
        <f>'Bieu 05'!E34+'Bieu 06'!E34+'Bieu 07'!E34</f>
        <v>265000000</v>
      </c>
      <c r="F33" s="173">
        <f>'Bieu 05'!F34+'Bieu 06'!F34+'Bieu 07'!F34</f>
        <v>0</v>
      </c>
      <c r="G33" s="173">
        <f>'Bieu 05'!G34+'Bieu 06'!G34+'Bieu 07'!G34</f>
        <v>0</v>
      </c>
      <c r="H33" s="173">
        <f>'Bieu 05'!H34+'Bieu 06'!H34+'Bieu 07'!H34</f>
        <v>0</v>
      </c>
      <c r="I33" s="173">
        <f>'Bieu 05'!I34+'Bieu 06'!I34+'Bieu 07'!I34</f>
        <v>19253266</v>
      </c>
      <c r="J33" s="173">
        <f>'Bieu 05'!J34+'Bieu 06'!J34+'Bieu 07'!J34</f>
        <v>19253266</v>
      </c>
      <c r="K33" s="173">
        <f>'Bieu 05'!K34+'Bieu 06'!K34+'Bieu 07'!K34</f>
        <v>0</v>
      </c>
      <c r="L33" s="173">
        <f>'Bieu 05'!L34+'Bieu 06'!L34+'Bieu 07'!L34</f>
        <v>0</v>
      </c>
      <c r="M33" s="173">
        <f>'Bieu 05'!M34+'Bieu 06'!M34+'Bieu 07'!M34</f>
        <v>11114346</v>
      </c>
      <c r="N33" s="188">
        <f>'Bieu 05'!N34+'Bieu 06'!N34+'Bieu 07'!N34</f>
        <v>295367612</v>
      </c>
      <c r="O33" s="184">
        <f>'Bieu 05'!O34+'Bieu 06'!O34+'Bieu 07'!O34</f>
        <v>5000000</v>
      </c>
      <c r="P33" s="173">
        <f>'Bieu 05'!P34+'Bieu 06'!P34+'Bieu 07'!P34</f>
        <v>178942</v>
      </c>
      <c r="Q33" s="184">
        <f>'Bieu 05'!Q34+'Bieu 06'!Q34+'Bieu 07'!Q34</f>
        <v>300546554</v>
      </c>
      <c r="R33" s="185">
        <f t="shared" si="0"/>
        <v>0</v>
      </c>
      <c r="S33" s="185">
        <f t="shared" si="1"/>
        <v>0</v>
      </c>
      <c r="T33" s="185">
        <f t="shared" si="2"/>
        <v>0</v>
      </c>
      <c r="U33" s="185">
        <f t="shared" si="3"/>
        <v>0</v>
      </c>
      <c r="V33" s="185">
        <f t="shared" si="4"/>
        <v>0</v>
      </c>
    </row>
    <row r="34" spans="1:22" ht="15" customHeight="1">
      <c r="A34" s="171">
        <f>A33+1</f>
        <v>25</v>
      </c>
      <c r="B34" s="174" t="s">
        <v>88</v>
      </c>
      <c r="C34" s="173">
        <f>'Bieu 05'!C35+'Bieu 06'!C35+'Bieu 07'!C35</f>
        <v>58219500</v>
      </c>
      <c r="D34" s="173">
        <f>'Bieu 05'!D35+'Bieu 06'!D35+'Bieu 07'!D35</f>
        <v>55000000</v>
      </c>
      <c r="E34" s="173">
        <f>'Bieu 05'!E35+'Bieu 06'!E35+'Bieu 07'!E35</f>
        <v>55000000</v>
      </c>
      <c r="F34" s="173">
        <f>'Bieu 05'!F35+'Bieu 06'!F35+'Bieu 07'!F35</f>
        <v>0</v>
      </c>
      <c r="G34" s="173">
        <f>'Bieu 05'!G35+'Bieu 06'!G35+'Bieu 07'!G35</f>
        <v>0</v>
      </c>
      <c r="H34" s="173">
        <f>'Bieu 05'!H35+'Bieu 06'!H35+'Bieu 07'!H35</f>
        <v>0</v>
      </c>
      <c r="I34" s="173">
        <f>'Bieu 05'!I35+'Bieu 06'!I35+'Bieu 07'!I35</f>
        <v>3219500</v>
      </c>
      <c r="J34" s="173">
        <f>'Bieu 05'!J35+'Bieu 06'!J35+'Bieu 07'!J35</f>
        <v>3219500</v>
      </c>
      <c r="K34" s="173">
        <f>'Bieu 05'!K35+'Bieu 06'!K35+'Bieu 07'!K35</f>
        <v>0</v>
      </c>
      <c r="L34" s="173">
        <f>'Bieu 05'!L35+'Bieu 06'!L35+'Bieu 07'!L35</f>
        <v>0</v>
      </c>
      <c r="M34" s="173">
        <f>'Bieu 05'!M35+'Bieu 06'!M35+'Bieu 07'!M35</f>
        <v>1181250</v>
      </c>
      <c r="N34" s="184">
        <f>'Bieu 05'!N35+'Bieu 06'!N35+'Bieu 07'!N35</f>
        <v>59400750</v>
      </c>
      <c r="O34" s="173">
        <f>'Bieu 05'!O35+'Bieu 06'!O35+'Bieu 07'!O35</f>
        <v>1000000</v>
      </c>
      <c r="P34" s="173">
        <f>'Bieu 05'!P35+'Bieu 06'!P35+'Bieu 07'!P35</f>
        <v>0</v>
      </c>
      <c r="Q34" s="173">
        <f>'Bieu 05'!Q35+'Bieu 06'!Q35+'Bieu 07'!Q35</f>
        <v>60400750</v>
      </c>
      <c r="R34" s="185">
        <f t="shared" si="0"/>
        <v>0</v>
      </c>
      <c r="S34" s="185">
        <f t="shared" si="1"/>
        <v>0</v>
      </c>
      <c r="T34" s="185">
        <f t="shared" si="2"/>
        <v>0</v>
      </c>
      <c r="U34" s="185">
        <f t="shared" si="3"/>
        <v>0</v>
      </c>
      <c r="V34" s="185">
        <f t="shared" si="4"/>
        <v>0</v>
      </c>
    </row>
    <row r="35" spans="1:22" ht="15" customHeight="1">
      <c r="A35" s="171">
        <f>A34+1</f>
        <v>26</v>
      </c>
      <c r="B35" s="174" t="s">
        <v>89</v>
      </c>
      <c r="C35" s="173">
        <f>'Bieu 05'!C36+'Bieu 06'!C36+'Bieu 07'!C36</f>
        <v>98442579</v>
      </c>
      <c r="D35" s="173">
        <f>'Bieu 05'!D36+'Bieu 06'!D36+'Bieu 07'!D36</f>
        <v>62619116</v>
      </c>
      <c r="E35" s="173">
        <f>'Bieu 05'!E36+'Bieu 06'!E36+'Bieu 07'!E36</f>
        <v>57778000</v>
      </c>
      <c r="F35" s="173">
        <f>'Bieu 05'!F36+'Bieu 06'!F36+'Bieu 07'!F36</f>
        <v>4722000</v>
      </c>
      <c r="G35" s="173">
        <f>'Bieu 05'!G36+'Bieu 06'!G36+'Bieu 07'!G36</f>
        <v>0</v>
      </c>
      <c r="H35" s="173">
        <f>'Bieu 05'!H36+'Bieu 06'!H36+'Bieu 07'!H36</f>
        <v>119116</v>
      </c>
      <c r="I35" s="173">
        <f>'Bieu 05'!I36+'Bieu 06'!I36+'Bieu 07'!I36</f>
        <v>35823463</v>
      </c>
      <c r="J35" s="173">
        <f>'Bieu 05'!J36+'Bieu 06'!J36+'Bieu 07'!J36</f>
        <v>35772889</v>
      </c>
      <c r="K35" s="173">
        <f>'Bieu 05'!K36+'Bieu 06'!K36+'Bieu 07'!K36</f>
        <v>50574</v>
      </c>
      <c r="L35" s="173">
        <f>'Bieu 05'!L36+'Bieu 06'!L36+'Bieu 07'!L36</f>
        <v>0</v>
      </c>
      <c r="M35" s="173">
        <f>'Bieu 05'!M36+'Bieu 06'!M36+'Bieu 07'!M36</f>
        <v>2051704</v>
      </c>
      <c r="N35" s="184">
        <f>'Bieu 05'!N36+'Bieu 06'!N36+'Bieu 07'!N36</f>
        <v>100494283</v>
      </c>
      <c r="O35" s="173">
        <f>'Bieu 05'!O36+'Bieu 06'!O36+'Bieu 07'!O36</f>
        <v>1500000</v>
      </c>
      <c r="P35" s="173">
        <f>'Bieu 05'!P36+'Bieu 06'!P36+'Bieu 07'!P36</f>
        <v>0</v>
      </c>
      <c r="Q35" s="173">
        <f>'Bieu 05'!Q36+'Bieu 06'!Q36+'Bieu 07'!Q36</f>
        <v>101994283</v>
      </c>
      <c r="R35" s="185">
        <f t="shared" si="0"/>
        <v>0</v>
      </c>
      <c r="S35" s="185">
        <f t="shared" si="1"/>
        <v>0</v>
      </c>
      <c r="T35" s="185">
        <f t="shared" si="2"/>
        <v>0</v>
      </c>
      <c r="U35" s="185">
        <f t="shared" si="3"/>
        <v>0</v>
      </c>
      <c r="V35" s="185">
        <f t="shared" si="4"/>
        <v>0</v>
      </c>
    </row>
    <row r="36" spans="1:22" ht="15" customHeight="1">
      <c r="A36" s="171">
        <f>A35+1</f>
        <v>27</v>
      </c>
      <c r="B36" s="174" t="s">
        <v>90</v>
      </c>
      <c r="C36" s="173">
        <f>'Bieu 05'!C37+'Bieu 06'!C37+'Bieu 07'!C37</f>
        <v>133504751</v>
      </c>
      <c r="D36" s="173">
        <f>'Bieu 05'!D37+'Bieu 06'!D37+'Bieu 07'!D37</f>
        <v>90444375</v>
      </c>
      <c r="E36" s="173">
        <f>'Bieu 05'!E37+'Bieu 06'!E37+'Bieu 07'!E37</f>
        <v>90300000</v>
      </c>
      <c r="F36" s="173">
        <f>'Bieu 05'!F37+'Bieu 06'!F37+'Bieu 07'!F37</f>
        <v>0</v>
      </c>
      <c r="G36" s="173">
        <f>'Bieu 05'!G37+'Bieu 06'!G37+'Bieu 07'!G37</f>
        <v>0</v>
      </c>
      <c r="H36" s="173">
        <f>'Bieu 05'!H37+'Bieu 06'!H37+'Bieu 07'!H37</f>
        <v>144375</v>
      </c>
      <c r="I36" s="173">
        <f>'Bieu 05'!I37+'Bieu 06'!I37+'Bieu 07'!I37</f>
        <v>43060376</v>
      </c>
      <c r="J36" s="173">
        <f>'Bieu 05'!J37+'Bieu 06'!J37+'Bieu 07'!J37</f>
        <v>42686164</v>
      </c>
      <c r="K36" s="173">
        <f>'Bieu 05'!K37+'Bieu 06'!K37+'Bieu 07'!K37</f>
        <v>374212</v>
      </c>
      <c r="L36" s="173">
        <f>'Bieu 05'!L37+'Bieu 06'!L37+'Bieu 07'!L37</f>
        <v>0</v>
      </c>
      <c r="M36" s="173">
        <f>'Bieu 05'!M37+'Bieu 06'!M37+'Bieu 07'!M37</f>
        <v>0</v>
      </c>
      <c r="N36" s="184">
        <f>'Bieu 05'!N37+'Bieu 06'!N37+'Bieu 07'!N37</f>
        <v>133504751</v>
      </c>
      <c r="O36" s="173">
        <f>'Bieu 05'!O37+'Bieu 06'!O37+'Bieu 07'!O37</f>
        <v>0</v>
      </c>
      <c r="P36" s="173">
        <f>'Bieu 05'!P37+'Bieu 06'!P37+'Bieu 07'!P37</f>
        <v>0</v>
      </c>
      <c r="Q36" s="173">
        <f>'Bieu 05'!Q37+'Bieu 06'!Q37+'Bieu 07'!Q37</f>
        <v>133504751</v>
      </c>
      <c r="R36" s="185">
        <f t="shared" si="0"/>
        <v>0</v>
      </c>
      <c r="S36" s="185">
        <f t="shared" si="1"/>
        <v>0</v>
      </c>
      <c r="T36" s="185">
        <f t="shared" si="2"/>
        <v>0</v>
      </c>
      <c r="U36" s="185">
        <f t="shared" si="3"/>
        <v>0</v>
      </c>
      <c r="V36" s="185">
        <f t="shared" si="4"/>
        <v>0</v>
      </c>
    </row>
    <row r="37" spans="1:22" ht="15" customHeight="1">
      <c r="A37" s="171">
        <f>A36+1</f>
        <v>28</v>
      </c>
      <c r="B37" s="177" t="s">
        <v>91</v>
      </c>
      <c r="C37" s="179">
        <f>'Bieu 05'!C38+'Bieu 06'!C38+'Bieu 07'!C38</f>
        <v>380637747</v>
      </c>
      <c r="D37" s="179">
        <f>'Bieu 05'!D38+'Bieu 06'!D38+'Bieu 07'!D38</f>
        <v>230446748</v>
      </c>
      <c r="E37" s="179">
        <f>'Bieu 05'!E38+'Bieu 06'!E38+'Bieu 07'!E38</f>
        <v>212037228</v>
      </c>
      <c r="F37" s="179">
        <f>'Bieu 05'!F38+'Bieu 06'!F38+'Bieu 07'!F38</f>
        <v>18062772</v>
      </c>
      <c r="G37" s="179">
        <f>'Bieu 05'!G38+'Bieu 06'!G38+'Bieu 07'!G38</f>
        <v>0</v>
      </c>
      <c r="H37" s="179">
        <f>'Bieu 05'!H38+'Bieu 06'!H38+'Bieu 07'!H38</f>
        <v>346748</v>
      </c>
      <c r="I37" s="179">
        <f>'Bieu 05'!I38+'Bieu 06'!I38+'Bieu 07'!I38</f>
        <v>150190999</v>
      </c>
      <c r="J37" s="179">
        <f>'Bieu 05'!J38+'Bieu 06'!J38+'Bieu 07'!J38</f>
        <v>146202182</v>
      </c>
      <c r="K37" s="179">
        <f>'Bieu 05'!K38+'Bieu 06'!K38+'Bieu 07'!K38</f>
        <v>1963558</v>
      </c>
      <c r="L37" s="179">
        <f>'Bieu 05'!L38+'Bieu 06'!L38+'Bieu 07'!L38</f>
        <v>2025259</v>
      </c>
      <c r="M37" s="179">
        <f>'Bieu 05'!M38+'Bieu 06'!M38+'Bieu 07'!M38</f>
        <v>0</v>
      </c>
      <c r="N37" s="187">
        <f>'Bieu 05'!N38+'Bieu 06'!N38+'Bieu 07'!N38</f>
        <v>380637747</v>
      </c>
      <c r="O37" s="179">
        <f>'Bieu 05'!O38+'Bieu 06'!O38+'Bieu 07'!O38</f>
        <v>0</v>
      </c>
      <c r="P37" s="179">
        <f>'Bieu 05'!P38+'Bieu 06'!P38+'Bieu 07'!P38</f>
        <v>11045000</v>
      </c>
      <c r="Q37" s="179">
        <f>'Bieu 05'!Q38+'Bieu 06'!Q38+'Bieu 07'!Q38</f>
        <v>391682747</v>
      </c>
      <c r="R37" s="185">
        <f t="shared" si="0"/>
        <v>0</v>
      </c>
      <c r="S37" s="185">
        <f t="shared" si="1"/>
        <v>0</v>
      </c>
      <c r="T37" s="185">
        <f t="shared" si="2"/>
        <v>0</v>
      </c>
      <c r="U37" s="185">
        <f t="shared" si="3"/>
        <v>0</v>
      </c>
      <c r="V37" s="185">
        <f t="shared" si="4"/>
        <v>0</v>
      </c>
    </row>
    <row r="38" spans="1:22" s="164" customFormat="1" ht="15" customHeight="1">
      <c r="A38" s="180" t="s">
        <v>118</v>
      </c>
      <c r="B38" s="181" t="s">
        <v>66</v>
      </c>
      <c r="C38" s="165">
        <f>'Bieu 05'!C39+'Bieu 06'!C39+'Bieu 07'!C39</f>
        <v>30115371</v>
      </c>
      <c r="D38" s="165">
        <f>'Bieu 05'!D39+'Bieu 06'!D39+'Bieu 07'!D39</f>
        <v>29776921</v>
      </c>
      <c r="E38" s="165">
        <f>'Bieu 05'!E39+'Bieu 06'!E39+'Bieu 07'!E39</f>
        <v>24259155</v>
      </c>
      <c r="F38" s="165">
        <f>'Bieu 05'!F39+'Bieu 06'!F39+'Bieu 07'!F39</f>
        <v>5500845</v>
      </c>
      <c r="G38" s="165">
        <f>'Bieu 05'!G39+'Bieu 06'!G39+'Bieu 07'!G39</f>
        <v>0</v>
      </c>
      <c r="H38" s="165">
        <f>'Bieu 05'!H39+'Bieu 06'!H39+'Bieu 07'!H39</f>
        <v>16921</v>
      </c>
      <c r="I38" s="165">
        <f>'Bieu 05'!I39+'Bieu 06'!I39+'Bieu 07'!I39</f>
        <v>338450</v>
      </c>
      <c r="J38" s="165">
        <f>'Bieu 05'!J39+'Bieu 06'!J39+'Bieu 07'!J39</f>
        <v>192236</v>
      </c>
      <c r="K38" s="165">
        <f>'Bieu 05'!K39+'Bieu 06'!K39+'Bieu 07'!K39</f>
        <v>146214</v>
      </c>
      <c r="L38" s="165">
        <f>'Bieu 05'!L39+'Bieu 06'!L39+'Bieu 07'!L39</f>
        <v>0</v>
      </c>
      <c r="M38" s="165">
        <f>'Bieu 05'!M39+'Bieu 06'!M39+'Bieu 07'!M39</f>
        <v>105614</v>
      </c>
      <c r="N38" s="165">
        <f>'Bieu 05'!N39+'Bieu 06'!N39+'Bieu 07'!N39</f>
        <v>30220985</v>
      </c>
      <c r="O38" s="165">
        <f>'Bieu 05'!O39+'Bieu 06'!O39+'Bieu 07'!O39</f>
        <v>0</v>
      </c>
      <c r="P38" s="165">
        <f>'Bieu 05'!P39+'Bieu 06'!P39+'Bieu 07'!P39</f>
        <v>2064000</v>
      </c>
      <c r="Q38" s="165">
        <f>'Bieu 05'!Q39+'Bieu 06'!Q39+'Bieu 07'!Q39</f>
        <v>32284985</v>
      </c>
      <c r="R38" s="186">
        <f t="shared" si="0"/>
        <v>0</v>
      </c>
      <c r="S38" s="186">
        <f t="shared" si="1"/>
        <v>0</v>
      </c>
      <c r="T38" s="186">
        <f t="shared" si="2"/>
        <v>0</v>
      </c>
      <c r="U38" s="186">
        <f t="shared" si="3"/>
        <v>0</v>
      </c>
      <c r="V38" s="186">
        <f t="shared" si="4"/>
        <v>0</v>
      </c>
    </row>
    <row r="39" spans="1:22" ht="15" customHeight="1">
      <c r="A39" s="171">
        <v>29</v>
      </c>
      <c r="B39" s="172" t="s">
        <v>92</v>
      </c>
      <c r="C39" s="173">
        <f>'Bieu 05'!C40+'Bieu 06'!C40+'Bieu 07'!C40</f>
        <v>12115371</v>
      </c>
      <c r="D39" s="173">
        <f>'Bieu 05'!D40+'Bieu 06'!D40+'Bieu 07'!D40</f>
        <v>11776921</v>
      </c>
      <c r="E39" s="173">
        <f>'Bieu 05'!E40+'Bieu 06'!E40+'Bieu 07'!E40</f>
        <v>9914184</v>
      </c>
      <c r="F39" s="173">
        <f>'Bieu 05'!F40+'Bieu 06'!F40+'Bieu 07'!F40</f>
        <v>1845816</v>
      </c>
      <c r="G39" s="173">
        <f>'Bieu 05'!G40+'Bieu 06'!G40+'Bieu 07'!G40</f>
        <v>0</v>
      </c>
      <c r="H39" s="173">
        <f>'Bieu 05'!H40+'Bieu 06'!H40+'Bieu 07'!H40</f>
        <v>16921</v>
      </c>
      <c r="I39" s="173">
        <f>'Bieu 05'!I40+'Bieu 06'!I40+'Bieu 07'!I40</f>
        <v>338450</v>
      </c>
      <c r="J39" s="173">
        <f>'Bieu 05'!J40+'Bieu 06'!J40+'Bieu 07'!J40</f>
        <v>192236</v>
      </c>
      <c r="K39" s="173">
        <f>'Bieu 05'!K40+'Bieu 06'!K40+'Bieu 07'!K40</f>
        <v>146214</v>
      </c>
      <c r="L39" s="173">
        <f>'Bieu 05'!L40+'Bieu 06'!L40+'Bieu 07'!L40</f>
        <v>0</v>
      </c>
      <c r="M39" s="173">
        <f>'Bieu 05'!M40+'Bieu 06'!M40+'Bieu 07'!M40</f>
        <v>105614</v>
      </c>
      <c r="N39" s="184">
        <f>'Bieu 05'!N40+'Bieu 06'!N40+'Bieu 07'!N40</f>
        <v>12220985</v>
      </c>
      <c r="O39" s="173">
        <f>'Bieu 05'!O40+'Bieu 06'!O40+'Bieu 07'!O40</f>
        <v>0</v>
      </c>
      <c r="P39" s="173">
        <f>'Bieu 05'!P40+'Bieu 06'!P40+'Bieu 07'!P40</f>
        <v>2064000</v>
      </c>
      <c r="Q39" s="173">
        <f>'Bieu 05'!Q40+'Bieu 06'!Q40+'Bieu 07'!Q40</f>
        <v>14284985</v>
      </c>
      <c r="R39" s="185">
        <f t="shared" si="0"/>
        <v>0</v>
      </c>
      <c r="S39" s="185">
        <f t="shared" si="1"/>
        <v>0</v>
      </c>
      <c r="T39" s="185">
        <f t="shared" si="2"/>
        <v>0</v>
      </c>
      <c r="U39" s="185">
        <f t="shared" si="3"/>
        <v>0</v>
      </c>
      <c r="V39" s="185">
        <f t="shared" si="4"/>
        <v>0</v>
      </c>
    </row>
    <row r="40" spans="1:22" ht="15" customHeight="1">
      <c r="A40" s="171">
        <v>30</v>
      </c>
      <c r="B40" s="174" t="s">
        <v>93</v>
      </c>
      <c r="C40" s="173">
        <f>'Bieu 05'!C41+'Bieu 06'!C41+'Bieu 07'!C41</f>
        <v>18000000</v>
      </c>
      <c r="D40" s="173">
        <f>'Bieu 05'!D41+'Bieu 06'!D41+'Bieu 07'!D41</f>
        <v>18000000</v>
      </c>
      <c r="E40" s="173">
        <f>'Bieu 05'!E41+'Bieu 06'!E41+'Bieu 07'!E41</f>
        <v>14344971</v>
      </c>
      <c r="F40" s="173">
        <f>'Bieu 05'!F41+'Bieu 06'!F41+'Bieu 07'!F41</f>
        <v>3655029</v>
      </c>
      <c r="G40" s="173">
        <f>'Bieu 05'!G41+'Bieu 06'!G41+'Bieu 07'!G41</f>
        <v>0</v>
      </c>
      <c r="H40" s="173">
        <f>'Bieu 05'!H41+'Bieu 06'!H41+'Bieu 07'!H41</f>
        <v>0</v>
      </c>
      <c r="I40" s="173">
        <f>'Bieu 05'!I41+'Bieu 06'!I41+'Bieu 07'!I41</f>
        <v>0</v>
      </c>
      <c r="J40" s="173">
        <f>'Bieu 05'!J41+'Bieu 06'!J41+'Bieu 07'!J41</f>
        <v>0</v>
      </c>
      <c r="K40" s="173">
        <f>'Bieu 05'!K41+'Bieu 06'!K41+'Bieu 07'!K41</f>
        <v>0</v>
      </c>
      <c r="L40" s="173">
        <f>'Bieu 05'!L41+'Bieu 06'!L41+'Bieu 07'!L41</f>
        <v>0</v>
      </c>
      <c r="M40" s="173">
        <f>'Bieu 05'!M41+'Bieu 06'!M41+'Bieu 07'!M41</f>
        <v>0</v>
      </c>
      <c r="N40" s="184">
        <f>'Bieu 05'!N41+'Bieu 06'!N41+'Bieu 07'!N41</f>
        <v>18000000</v>
      </c>
      <c r="O40" s="173">
        <f>'Bieu 05'!O41+'Bieu 06'!O41+'Bieu 07'!O41</f>
        <v>0</v>
      </c>
      <c r="P40" s="173">
        <f>'Bieu 05'!P41+'Bieu 06'!P41+'Bieu 07'!P41</f>
        <v>0</v>
      </c>
      <c r="Q40" s="173">
        <f>'Bieu 05'!Q41+'Bieu 06'!Q41+'Bieu 07'!Q41</f>
        <v>18000000</v>
      </c>
      <c r="R40" s="185">
        <f t="shared" si="0"/>
        <v>0</v>
      </c>
      <c r="S40" s="185">
        <f t="shared" si="1"/>
        <v>0</v>
      </c>
      <c r="T40" s="185">
        <f t="shared" si="2"/>
        <v>0</v>
      </c>
      <c r="U40" s="185">
        <f t="shared" si="3"/>
        <v>0</v>
      </c>
      <c r="V40" s="185">
        <f t="shared" si="4"/>
        <v>0</v>
      </c>
    </row>
    <row r="41" spans="1:22" s="164" customFormat="1" ht="15" customHeight="1">
      <c r="A41" s="180"/>
      <c r="B41" s="181" t="s">
        <v>60</v>
      </c>
      <c r="C41" s="166">
        <f>'Bieu 05'!C42+'Bieu 06'!C42+'Bieu 07'!C42</f>
        <v>2101597986</v>
      </c>
      <c r="D41" s="166">
        <f>'Bieu 05'!D42+'Bieu 06'!D42+'Bieu 07'!D42</f>
        <v>1601786055</v>
      </c>
      <c r="E41" s="166">
        <f>'Bieu 05'!E42+'Bieu 06'!E42+'Bieu 07'!E42</f>
        <v>1570838726</v>
      </c>
      <c r="F41" s="166">
        <f>'Bieu 05'!F42+'Bieu 06'!F42+'Bieu 07'!F42</f>
        <v>29105885</v>
      </c>
      <c r="G41" s="166">
        <f>'Bieu 05'!G42+'Bieu 06'!G42+'Bieu 07'!G42</f>
        <v>0</v>
      </c>
      <c r="H41" s="166">
        <f>'Bieu 05'!H42+'Bieu 06'!H42+'Bieu 07'!H42</f>
        <v>1841444</v>
      </c>
      <c r="I41" s="166">
        <f>'Bieu 05'!I42+'Bieu 06'!I42+'Bieu 07'!I42</f>
        <v>499811931</v>
      </c>
      <c r="J41" s="166">
        <f>'Bieu 05'!J42+'Bieu 06'!J42+'Bieu 07'!J42</f>
        <v>485770971</v>
      </c>
      <c r="K41" s="166">
        <f>'Bieu 05'!K42+'Bieu 06'!K42+'Bieu 07'!K42</f>
        <v>11266119</v>
      </c>
      <c r="L41" s="166">
        <f>'Bieu 05'!L42+'Bieu 06'!L42+'Bieu 07'!L42</f>
        <v>2774841</v>
      </c>
      <c r="M41" s="166">
        <f>'Bieu 05'!M42+'Bieu 06'!M42+'Bieu 07'!M42</f>
        <v>33970496</v>
      </c>
      <c r="N41" s="166">
        <f>'Bieu 05'!N42+'Bieu 06'!N42+'Bieu 07'!N42</f>
        <v>2135568482</v>
      </c>
      <c r="O41" s="166">
        <f>'Bieu 05'!O42+'Bieu 06'!O42+'Bieu 07'!O42</f>
        <v>16994200</v>
      </c>
      <c r="P41" s="166">
        <f>'Bieu 05'!P42+'Bieu 06'!P42+'Bieu 07'!P42</f>
        <v>23587959</v>
      </c>
      <c r="Q41" s="166">
        <f>'Bieu 05'!Q42+'Bieu 06'!Q42+'Bieu 07'!Q42</f>
        <v>2176150641</v>
      </c>
      <c r="R41" s="185">
        <f t="shared" si="0"/>
        <v>0</v>
      </c>
      <c r="S41" s="185">
        <f t="shared" si="1"/>
        <v>0</v>
      </c>
      <c r="T41" s="185">
        <f t="shared" si="2"/>
        <v>0</v>
      </c>
      <c r="U41" s="185">
        <f t="shared" si="3"/>
        <v>0</v>
      </c>
      <c r="V41" s="185">
        <f t="shared" si="4"/>
        <v>0</v>
      </c>
    </row>
    <row r="42" spans="3:17" ht="17.25" customHeight="1">
      <c r="C42" s="182"/>
      <c r="F42" s="182"/>
      <c r="G42" s="182"/>
      <c r="H42" s="182"/>
      <c r="I42" s="182"/>
      <c r="J42" s="182"/>
      <c r="K42" s="182"/>
      <c r="M42" s="183"/>
      <c r="N42" s="183">
        <f>N41+O42</f>
        <v>2141062682</v>
      </c>
      <c r="O42" s="183">
        <f>O7+O26+O29+O33</f>
        <v>5494200</v>
      </c>
      <c r="P42" s="183"/>
      <c r="Q42" s="183"/>
    </row>
    <row r="43" spans="6:17" ht="17.25" customHeight="1">
      <c r="F43" s="182"/>
      <c r="M43" s="183"/>
      <c r="N43" s="183">
        <f>N42-'Bieu 11'!C44</f>
        <v>-12338065.69999981</v>
      </c>
      <c r="O43" s="183"/>
      <c r="P43" s="183"/>
      <c r="Q43" s="183"/>
    </row>
    <row r="44" spans="13:17" ht="17.25" customHeight="1">
      <c r="M44" s="183"/>
      <c r="N44" s="183"/>
      <c r="O44" s="183"/>
      <c r="P44" s="183"/>
      <c r="Q44" s="183"/>
    </row>
    <row r="45" spans="13:17" ht="17.25" customHeight="1">
      <c r="M45" s="183"/>
      <c r="N45" s="183"/>
      <c r="O45" s="183"/>
      <c r="P45" s="183"/>
      <c r="Q45" s="183"/>
    </row>
  </sheetData>
  <sheetProtection/>
  <mergeCells count="11">
    <mergeCell ref="P1:P3"/>
    <mergeCell ref="Q1:Q3"/>
    <mergeCell ref="C2:C3"/>
    <mergeCell ref="D2:H2"/>
    <mergeCell ref="I2:L2"/>
    <mergeCell ref="O1:O3"/>
    <mergeCell ref="A1:A3"/>
    <mergeCell ref="B1:B3"/>
    <mergeCell ref="C1:L1"/>
    <mergeCell ref="M1:M3"/>
    <mergeCell ref="N1:N3"/>
  </mergeCells>
  <printOptions horizontalCentered="1"/>
  <pageMargins left="0.2" right="0.2" top="0.25" bottom="0.25" header="0.3" footer="0.3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2"/>
  <sheetViews>
    <sheetView zoomScale="115" zoomScaleNormal="115" zoomScalePageLayoutView="0" workbookViewId="0" topLeftCell="A34">
      <selection activeCell="D44" sqref="D44:Q44"/>
    </sheetView>
  </sheetViews>
  <sheetFormatPr defaultColWidth="10.7109375" defaultRowHeight="35.25" customHeight="1"/>
  <cols>
    <col min="1" max="1" width="3.421875" style="198" customWidth="1"/>
    <col min="2" max="2" width="14.7109375" style="198" customWidth="1"/>
    <col min="3" max="3" width="12.8515625" style="198" bestFit="1" customWidth="1"/>
    <col min="4" max="4" width="11.8515625" style="198" customWidth="1"/>
    <col min="5" max="5" width="11.140625" style="198" customWidth="1"/>
    <col min="6" max="6" width="8.7109375" style="198" customWidth="1"/>
    <col min="7" max="7" width="7.421875" style="198" bestFit="1" customWidth="1"/>
    <col min="8" max="8" width="7.7109375" style="198" customWidth="1"/>
    <col min="9" max="10" width="9.57421875" style="198" customWidth="1"/>
    <col min="11" max="11" width="8.7109375" style="198" customWidth="1"/>
    <col min="12" max="12" width="7.8515625" style="198" customWidth="1"/>
    <col min="13" max="13" width="8.7109375" style="198" customWidth="1"/>
    <col min="14" max="14" width="10.421875" style="198" customWidth="1"/>
    <col min="15" max="15" width="8.421875" style="198" customWidth="1"/>
    <col min="16" max="16" width="8.57421875" style="198" customWidth="1"/>
    <col min="17" max="17" width="10.57421875" style="198" customWidth="1"/>
    <col min="18" max="16384" width="10.7109375" style="198" customWidth="1"/>
  </cols>
  <sheetData>
    <row r="1" spans="15:17" ht="21.75" customHeight="1">
      <c r="O1" s="828" t="s">
        <v>415</v>
      </c>
      <c r="P1" s="828"/>
      <c r="Q1" s="828"/>
    </row>
    <row r="2" spans="1:17" s="233" customFormat="1" ht="11.25" customHeight="1">
      <c r="A2" s="832" t="s">
        <v>0</v>
      </c>
      <c r="B2" s="832" t="s">
        <v>131</v>
      </c>
      <c r="C2" s="820" t="s">
        <v>278</v>
      </c>
      <c r="D2" s="820"/>
      <c r="E2" s="820"/>
      <c r="F2" s="820"/>
      <c r="G2" s="820"/>
      <c r="H2" s="820"/>
      <c r="I2" s="820"/>
      <c r="J2" s="820"/>
      <c r="K2" s="820"/>
      <c r="L2" s="820"/>
      <c r="M2" s="820" t="s">
        <v>286</v>
      </c>
      <c r="N2" s="821" t="s">
        <v>285</v>
      </c>
      <c r="O2" s="820" t="s">
        <v>12</v>
      </c>
      <c r="P2" s="820" t="s">
        <v>282</v>
      </c>
      <c r="Q2" s="820" t="s">
        <v>279</v>
      </c>
    </row>
    <row r="3" spans="1:17" s="233" customFormat="1" ht="12.75" customHeight="1">
      <c r="A3" s="832"/>
      <c r="B3" s="832"/>
      <c r="C3" s="820" t="s">
        <v>11</v>
      </c>
      <c r="D3" s="820" t="s">
        <v>276</v>
      </c>
      <c r="E3" s="820"/>
      <c r="F3" s="820"/>
      <c r="G3" s="820"/>
      <c r="H3" s="820"/>
      <c r="I3" s="820" t="s">
        <v>52</v>
      </c>
      <c r="J3" s="820"/>
      <c r="K3" s="820"/>
      <c r="L3" s="820"/>
      <c r="M3" s="820"/>
      <c r="N3" s="822"/>
      <c r="O3" s="820"/>
      <c r="P3" s="820"/>
      <c r="Q3" s="820"/>
    </row>
    <row r="4" spans="1:17" s="233" customFormat="1" ht="24.75" customHeight="1">
      <c r="A4" s="832"/>
      <c r="B4" s="832"/>
      <c r="C4" s="820"/>
      <c r="D4" s="454" t="s">
        <v>274</v>
      </c>
      <c r="E4" s="454" t="s">
        <v>94</v>
      </c>
      <c r="F4" s="454" t="s">
        <v>3</v>
      </c>
      <c r="G4" s="454" t="s">
        <v>4</v>
      </c>
      <c r="H4" s="454" t="s">
        <v>275</v>
      </c>
      <c r="I4" s="454" t="s">
        <v>277</v>
      </c>
      <c r="J4" s="454" t="s">
        <v>94</v>
      </c>
      <c r="K4" s="454" t="s">
        <v>3</v>
      </c>
      <c r="L4" s="454" t="s">
        <v>4</v>
      </c>
      <c r="M4" s="820"/>
      <c r="N4" s="822"/>
      <c r="O4" s="820"/>
      <c r="P4" s="820"/>
      <c r="Q4" s="820"/>
    </row>
    <row r="5" spans="1:17" s="191" customFormat="1" ht="12.75" customHeight="1">
      <c r="A5" s="189" t="s">
        <v>9</v>
      </c>
      <c r="B5" s="189" t="s">
        <v>10</v>
      </c>
      <c r="C5" s="190" t="s">
        <v>291</v>
      </c>
      <c r="D5" s="190" t="s">
        <v>284</v>
      </c>
      <c r="E5" s="190" t="s">
        <v>101</v>
      </c>
      <c r="F5" s="190" t="s">
        <v>102</v>
      </c>
      <c r="G5" s="190" t="s">
        <v>103</v>
      </c>
      <c r="H5" s="190" t="s">
        <v>230</v>
      </c>
      <c r="I5" s="190" t="s">
        <v>289</v>
      </c>
      <c r="J5" s="190" t="s">
        <v>135</v>
      </c>
      <c r="K5" s="190" t="s">
        <v>231</v>
      </c>
      <c r="L5" s="190" t="s">
        <v>232</v>
      </c>
      <c r="M5" s="190" t="s">
        <v>280</v>
      </c>
      <c r="N5" s="190" t="s">
        <v>290</v>
      </c>
      <c r="O5" s="190" t="s">
        <v>281</v>
      </c>
      <c r="P5" s="190" t="s">
        <v>104</v>
      </c>
      <c r="Q5" s="190" t="s">
        <v>292</v>
      </c>
    </row>
    <row r="6" spans="1:23" s="219" customFormat="1" ht="12.75" customHeight="1">
      <c r="A6" s="455" t="s">
        <v>105</v>
      </c>
      <c r="B6" s="456" t="s">
        <v>61</v>
      </c>
      <c r="C6" s="215">
        <f>'Bieu 05'!C6+'Bieu 06'!C6+'Bieu 07'!C6+'Bieu 08'!C6</f>
        <v>960517415</v>
      </c>
      <c r="D6" s="215">
        <f>'Bieu 05'!D6+'Bieu 06'!D6+'Bieu 07'!D6+'Bieu 08'!D6</f>
        <v>930372000</v>
      </c>
      <c r="E6" s="215">
        <f>'Bieu 05'!E6+'Bieu 06'!E6+'Bieu 07'!E6+'Bieu 08'!E6</f>
        <v>928485465</v>
      </c>
      <c r="F6" s="215">
        <f>'Bieu 05'!F6+'Bieu 06'!F6+'Bieu 07'!F6+'Bieu 08'!F6</f>
        <v>524685</v>
      </c>
      <c r="G6" s="215">
        <f>'Bieu 05'!G6+'Bieu 06'!G6+'Bieu 07'!G6+'Bieu 08'!G6</f>
        <v>0</v>
      </c>
      <c r="H6" s="215">
        <f>'Bieu 05'!H6+'Bieu 06'!H6+'Bieu 07'!H6+'Bieu 08'!H6</f>
        <v>1361850</v>
      </c>
      <c r="I6" s="215">
        <f>'Bieu 05'!I6+'Bieu 06'!I6+'Bieu 07'!I6+'Bieu 08'!I6</f>
        <v>30145415</v>
      </c>
      <c r="J6" s="215">
        <f>'Bieu 05'!J6+'Bieu 06'!J6+'Bieu 07'!J6+'Bieu 08'!J6</f>
        <v>28666295</v>
      </c>
      <c r="K6" s="215">
        <f>'Bieu 05'!K6+'Bieu 06'!K6+'Bieu 07'!K6+'Bieu 08'!K6</f>
        <v>1479120</v>
      </c>
      <c r="L6" s="215">
        <f>'Bieu 05'!L6+'Bieu 06'!L6+'Bieu 07'!L6+'Bieu 08'!L6</f>
        <v>0</v>
      </c>
      <c r="M6" s="215">
        <f>'Bieu 05'!M6+'Bieu 06'!M6+'Bieu 07'!M6+'Bieu 08'!M6</f>
        <v>5522956</v>
      </c>
      <c r="N6" s="215">
        <f>'Bieu 05'!N6+'Bieu 06'!N6+'Bieu 07'!N6+'Bieu 08'!N6</f>
        <v>966040371</v>
      </c>
      <c r="O6" s="215">
        <f>'Bieu 05'!O6+'Bieu 06'!O6+'Bieu 07'!O6+'Bieu 08'!O6</f>
        <v>319000</v>
      </c>
      <c r="P6" s="215">
        <f>'Bieu 05'!P6+'Bieu 06'!P6+'Bieu 07'!P6+'Bieu 08'!P6</f>
        <v>0</v>
      </c>
      <c r="Q6" s="215">
        <f>'Bieu 05'!Q6+'Bieu 06'!Q6+'Bieu 07'!Q6+'Bieu 08'!Q6</f>
        <v>966359371</v>
      </c>
      <c r="W6" s="219">
        <f>C6/C48</f>
        <v>0.3893331593530042</v>
      </c>
    </row>
    <row r="7" spans="1:22" ht="12.75" customHeight="1">
      <c r="A7" s="220">
        <v>1</v>
      </c>
      <c r="B7" s="221" t="s">
        <v>68</v>
      </c>
      <c r="C7" s="222">
        <f>'Bieu 05'!C7+'Bieu 06'!C7+'Bieu 07'!C7+'Bieu 08'!C7</f>
        <v>223519342</v>
      </c>
      <c r="D7" s="222">
        <f>'Bieu 05'!D7+'Bieu 06'!D7+'Bieu 07'!D7+'Bieu 08'!D7</f>
        <v>221500000</v>
      </c>
      <c r="E7" s="222">
        <f>'Bieu 05'!E7+'Bieu 06'!E7+'Bieu 07'!E7+'Bieu 08'!E7</f>
        <v>221148496</v>
      </c>
      <c r="F7" s="222">
        <f>'Bieu 05'!F7+'Bieu 06'!F7+'Bieu 07'!F7+'Bieu 08'!F7</f>
        <v>0</v>
      </c>
      <c r="G7" s="222">
        <f>'Bieu 05'!G7+'Bieu 06'!G7+'Bieu 07'!G7+'Bieu 08'!G7</f>
        <v>0</v>
      </c>
      <c r="H7" s="222">
        <f>'Bieu 05'!H7+'Bieu 06'!H7+'Bieu 07'!H7+'Bieu 08'!H7</f>
        <v>351504</v>
      </c>
      <c r="I7" s="222">
        <f>'Bieu 05'!I7+'Bieu 06'!I7+'Bieu 07'!I7+'Bieu 08'!I7</f>
        <v>2019342</v>
      </c>
      <c r="J7" s="222">
        <f>'Bieu 05'!J7+'Bieu 06'!J7+'Bieu 07'!J7+'Bieu 08'!J7</f>
        <v>928443</v>
      </c>
      <c r="K7" s="222">
        <f>'Bieu 05'!K7+'Bieu 06'!K7+'Bieu 07'!K7+'Bieu 08'!K7</f>
        <v>1090899</v>
      </c>
      <c r="L7" s="222">
        <f>'Bieu 05'!L7+'Bieu 06'!L7+'Bieu 07'!L7+'Bieu 08'!L7</f>
        <v>0</v>
      </c>
      <c r="M7" s="222">
        <f>'Bieu 05'!M7+'Bieu 06'!M7+'Bieu 07'!M7+'Bieu 08'!M7</f>
        <v>974453</v>
      </c>
      <c r="N7" s="222">
        <f>'Bieu 05'!N7+'Bieu 06'!N7+'Bieu 07'!N7+'Bieu 08'!N7</f>
        <v>224493795</v>
      </c>
      <c r="O7" s="222">
        <f>'Bieu 05'!O7+'Bieu 06'!O7+'Bieu 07'!O7+'Bieu 08'!O7</f>
        <v>0</v>
      </c>
      <c r="P7" s="222">
        <f>'Bieu 05'!P7+'Bieu 06'!P7+'Bieu 07'!P7+'Bieu 08'!P7</f>
        <v>0</v>
      </c>
      <c r="Q7" s="222">
        <f>'Bieu 05'!Q7+'Bieu 06'!Q7+'Bieu 07'!Q7+'Bieu 08'!Q7</f>
        <v>224493795</v>
      </c>
      <c r="R7" s="476">
        <f>D7-E7-F7-G7-H7</f>
        <v>0</v>
      </c>
      <c r="S7" s="476">
        <f>I7-J7-K7-L7</f>
        <v>0</v>
      </c>
      <c r="T7" s="476">
        <f>C7-D7-I7</f>
        <v>0</v>
      </c>
      <c r="U7" s="476">
        <f>N7-M7-C7</f>
        <v>0</v>
      </c>
      <c r="V7" s="476">
        <f>Q7-P7-O7-N7</f>
        <v>0</v>
      </c>
    </row>
    <row r="8" spans="1:22" ht="12.75" customHeight="1">
      <c r="A8" s="43">
        <f>A7+1</f>
        <v>2</v>
      </c>
      <c r="B8" s="44" t="s">
        <v>106</v>
      </c>
      <c r="C8" s="222">
        <f>'Bieu 05'!C8+'Bieu 06'!C8+'Bieu 07'!C8+'Bieu 08'!C8</f>
        <v>467509791</v>
      </c>
      <c r="D8" s="222">
        <f>'Bieu 05'!D8+'Bieu 06'!D8+'Bieu 07'!D8+'Bieu 08'!D8</f>
        <v>442772000</v>
      </c>
      <c r="E8" s="222">
        <f>'Bieu 05'!E8+'Bieu 06'!E8+'Bieu 07'!E8+'Bieu 08'!E8</f>
        <v>441656742</v>
      </c>
      <c r="F8" s="222">
        <f>'Bieu 05'!F8+'Bieu 06'!F8+'Bieu 07'!F8+'Bieu 08'!F8</f>
        <v>524685</v>
      </c>
      <c r="G8" s="222">
        <f>'Bieu 05'!G8+'Bieu 06'!G8+'Bieu 07'!G8+'Bieu 08'!G8</f>
        <v>0</v>
      </c>
      <c r="H8" s="222">
        <f>'Bieu 05'!H8+'Bieu 06'!H8+'Bieu 07'!H8+'Bieu 08'!H8</f>
        <v>590573</v>
      </c>
      <c r="I8" s="222">
        <f>'Bieu 05'!I8+'Bieu 06'!I8+'Bieu 07'!I8+'Bieu 08'!I8</f>
        <v>24737791</v>
      </c>
      <c r="J8" s="222">
        <f>'Bieu 05'!J8+'Bieu 06'!J8+'Bieu 07'!J8+'Bieu 08'!J8</f>
        <v>24737791</v>
      </c>
      <c r="K8" s="222">
        <f>'Bieu 05'!K8+'Bieu 06'!K8+'Bieu 07'!K8+'Bieu 08'!K8</f>
        <v>0</v>
      </c>
      <c r="L8" s="222">
        <f>'Bieu 05'!L8+'Bieu 06'!L8+'Bieu 07'!L8+'Bieu 08'!L8</f>
        <v>0</v>
      </c>
      <c r="M8" s="222">
        <f>'Bieu 05'!M8+'Bieu 06'!M8+'Bieu 07'!M8+'Bieu 08'!M8</f>
        <v>2622000</v>
      </c>
      <c r="N8" s="222">
        <f>'Bieu 05'!N8+'Bieu 06'!N8+'Bieu 07'!N8+'Bieu 08'!N8</f>
        <v>470131791</v>
      </c>
      <c r="O8" s="467">
        <f>'Bieu 05'!O8+'Bieu 06'!O8+'Bieu 07'!O8+'Bieu 08'!O8</f>
        <v>319000</v>
      </c>
      <c r="P8" s="222">
        <f>'Bieu 05'!P8+'Bieu 06'!P8+'Bieu 07'!P8+'Bieu 08'!P8</f>
        <v>0</v>
      </c>
      <c r="Q8" s="467">
        <f>'Bieu 05'!Q8+'Bieu 06'!Q8+'Bieu 07'!Q8+'Bieu 08'!Q8</f>
        <v>470450791</v>
      </c>
      <c r="R8" s="476">
        <f aca="true" t="shared" si="0" ref="R8:R42">D8-E8-F8-G8-H8</f>
        <v>0</v>
      </c>
      <c r="S8" s="476">
        <f aca="true" t="shared" si="1" ref="S8:S42">I8-J8-K8-L8</f>
        <v>0</v>
      </c>
      <c r="T8" s="476">
        <f aca="true" t="shared" si="2" ref="T8:T42">C8-D8-I8</f>
        <v>0</v>
      </c>
      <c r="U8" s="476">
        <f aca="true" t="shared" si="3" ref="U8:U42">N8-M8-C8</f>
        <v>0</v>
      </c>
      <c r="V8" s="476">
        <f aca="true" t="shared" si="4" ref="V8:V42">Q8-P8-O8-N8</f>
        <v>0</v>
      </c>
    </row>
    <row r="9" spans="1:22" s="207" customFormat="1" ht="12.75" customHeight="1">
      <c r="A9" s="43">
        <f>A8+1</f>
        <v>3</v>
      </c>
      <c r="B9" s="44" t="s">
        <v>67</v>
      </c>
      <c r="C9" s="222">
        <f>'Bieu 05'!C9+'Bieu 06'!C9+'Bieu 07'!C9+'Bieu 08'!C9</f>
        <v>242959427</v>
      </c>
      <c r="D9" s="222">
        <f>'Bieu 05'!D9+'Bieu 06'!D9+'Bieu 07'!D9+'Bieu 08'!D9</f>
        <v>240000000</v>
      </c>
      <c r="E9" s="222">
        <f>'Bieu 05'!E9+'Bieu 06'!E9+'Bieu 07'!E9+'Bieu 08'!E9</f>
        <v>239634007</v>
      </c>
      <c r="F9" s="222">
        <f>'Bieu 05'!F9+'Bieu 06'!F9+'Bieu 07'!F9+'Bieu 08'!F9</f>
        <v>0</v>
      </c>
      <c r="G9" s="222">
        <f>'Bieu 05'!G9+'Bieu 06'!G9+'Bieu 07'!G9+'Bieu 08'!G9</f>
        <v>0</v>
      </c>
      <c r="H9" s="222">
        <f>'Bieu 05'!H9+'Bieu 06'!H9+'Bieu 07'!H9+'Bieu 08'!H9</f>
        <v>365993</v>
      </c>
      <c r="I9" s="222">
        <f>'Bieu 05'!I9+'Bieu 06'!I9+'Bieu 07'!I9+'Bieu 08'!I9</f>
        <v>2959427</v>
      </c>
      <c r="J9" s="222">
        <f>'Bieu 05'!J9+'Bieu 06'!J9+'Bieu 07'!J9+'Bieu 08'!J9</f>
        <v>2750061</v>
      </c>
      <c r="K9" s="222">
        <f>'Bieu 05'!K9+'Bieu 06'!K9+'Bieu 07'!K9+'Bieu 08'!K9</f>
        <v>209366</v>
      </c>
      <c r="L9" s="222">
        <f>'Bieu 05'!L9+'Bieu 06'!L9+'Bieu 07'!L9+'Bieu 08'!L9</f>
        <v>0</v>
      </c>
      <c r="M9" s="222">
        <f>'Bieu 05'!M9+'Bieu 06'!M9+'Bieu 07'!M9+'Bieu 08'!M9</f>
        <v>1708813</v>
      </c>
      <c r="N9" s="222">
        <f>'Bieu 05'!N9+'Bieu 06'!N9+'Bieu 07'!N9+'Bieu 08'!N9</f>
        <v>244668240</v>
      </c>
      <c r="O9" s="222">
        <f>'Bieu 05'!O9+'Bieu 06'!O9+'Bieu 07'!O9+'Bieu 08'!O9</f>
        <v>0</v>
      </c>
      <c r="P9" s="222">
        <f>'Bieu 05'!P9+'Bieu 06'!P9+'Bieu 07'!P9+'Bieu 08'!P9</f>
        <v>0</v>
      </c>
      <c r="Q9" s="467">
        <f>'Bieu 05'!Q9+'Bieu 06'!Q9+'Bieu 07'!Q9+'Bieu 08'!Q9</f>
        <v>244668240</v>
      </c>
      <c r="R9" s="476">
        <f t="shared" si="0"/>
        <v>0</v>
      </c>
      <c r="S9" s="476">
        <f t="shared" si="1"/>
        <v>0</v>
      </c>
      <c r="T9" s="476">
        <f t="shared" si="2"/>
        <v>0</v>
      </c>
      <c r="U9" s="476">
        <f t="shared" si="3"/>
        <v>0</v>
      </c>
      <c r="V9" s="476">
        <f t="shared" si="4"/>
        <v>0</v>
      </c>
    </row>
    <row r="10" spans="1:22" ht="12.75" customHeight="1">
      <c r="A10" s="220">
        <f>A9+1</f>
        <v>4</v>
      </c>
      <c r="B10" s="209" t="s">
        <v>70</v>
      </c>
      <c r="C10" s="238">
        <f>'Bieu 05'!C10+'Bieu 06'!C10+'Bieu 07'!C10+'Bieu 08'!C10</f>
        <v>26528855</v>
      </c>
      <c r="D10" s="238">
        <f>'Bieu 05'!D10+'Bieu 06'!D10+'Bieu 07'!D10+'Bieu 08'!D10</f>
        <v>26100000</v>
      </c>
      <c r="E10" s="238">
        <f>'Bieu 05'!E10+'Bieu 06'!E10+'Bieu 07'!E10+'Bieu 08'!E10</f>
        <v>26046220</v>
      </c>
      <c r="F10" s="238">
        <f>'Bieu 05'!F10+'Bieu 06'!F10+'Bieu 07'!F10+'Bieu 08'!F10</f>
        <v>0</v>
      </c>
      <c r="G10" s="238">
        <f>'Bieu 05'!G10+'Bieu 06'!G10+'Bieu 07'!G10+'Bieu 08'!G10</f>
        <v>0</v>
      </c>
      <c r="H10" s="238">
        <f>'Bieu 05'!H10+'Bieu 06'!H10+'Bieu 07'!H10+'Bieu 08'!H10</f>
        <v>53780</v>
      </c>
      <c r="I10" s="238">
        <f>'Bieu 05'!I10+'Bieu 06'!I10+'Bieu 07'!I10+'Bieu 08'!I10</f>
        <v>428855</v>
      </c>
      <c r="J10" s="238">
        <f>'Bieu 05'!J10+'Bieu 06'!J10+'Bieu 07'!J10+'Bieu 08'!J10</f>
        <v>250000</v>
      </c>
      <c r="K10" s="238">
        <f>'Bieu 05'!K10+'Bieu 06'!K10+'Bieu 07'!K10+'Bieu 08'!K10</f>
        <v>178855</v>
      </c>
      <c r="L10" s="238">
        <f>'Bieu 05'!L10+'Bieu 06'!L10+'Bieu 07'!L10+'Bieu 08'!L10</f>
        <v>0</v>
      </c>
      <c r="M10" s="238">
        <f>'Bieu 05'!M10+'Bieu 06'!M10+'Bieu 07'!M10+'Bieu 08'!M10</f>
        <v>217690</v>
      </c>
      <c r="N10" s="238">
        <f>'Bieu 05'!N10+'Bieu 06'!N10+'Bieu 07'!N10+'Bieu 08'!N10</f>
        <v>26746545</v>
      </c>
      <c r="O10" s="238">
        <f>'Bieu 05'!O10+'Bieu 06'!O10+'Bieu 07'!O10+'Bieu 08'!O10</f>
        <v>0</v>
      </c>
      <c r="P10" s="238">
        <f>'Bieu 05'!P10+'Bieu 06'!P10+'Bieu 07'!P10+'Bieu 08'!P10</f>
        <v>0</v>
      </c>
      <c r="Q10" s="477">
        <f>'Bieu 05'!Q10+'Bieu 06'!Q10+'Bieu 07'!Q10+'Bieu 08'!Q10</f>
        <v>26746545</v>
      </c>
      <c r="R10" s="476">
        <f t="shared" si="0"/>
        <v>0</v>
      </c>
      <c r="S10" s="476">
        <f t="shared" si="1"/>
        <v>0</v>
      </c>
      <c r="T10" s="476">
        <f t="shared" si="2"/>
        <v>0</v>
      </c>
      <c r="U10" s="476">
        <f t="shared" si="3"/>
        <v>0</v>
      </c>
      <c r="V10" s="476">
        <f t="shared" si="4"/>
        <v>0</v>
      </c>
    </row>
    <row r="11" spans="1:22" s="219" customFormat="1" ht="12.75" customHeight="1">
      <c r="A11" s="213" t="s">
        <v>107</v>
      </c>
      <c r="B11" s="214" t="s">
        <v>62</v>
      </c>
      <c r="C11" s="215">
        <f>'Bieu 05'!C11+'Bieu 06'!C11+'Bieu 07'!C11+'Bieu 08'!C11</f>
        <v>196434514</v>
      </c>
      <c r="D11" s="215">
        <f>'Bieu 05'!D11+'Bieu 06'!D11+'Bieu 07'!D11+'Bieu 08'!D11</f>
        <v>150058708</v>
      </c>
      <c r="E11" s="215">
        <f>'Bieu 05'!E11+'Bieu 06'!E11+'Bieu 07'!E11+'Bieu 08'!E11</f>
        <v>149827384</v>
      </c>
      <c r="F11" s="215">
        <f>'Bieu 05'!F11+'Bieu 06'!F11+'Bieu 07'!F11+'Bieu 08'!F11</f>
        <v>23636</v>
      </c>
      <c r="G11" s="215">
        <f>'Bieu 05'!G11+'Bieu 06'!G11+'Bieu 07'!G11+'Bieu 08'!G11</f>
        <v>0</v>
      </c>
      <c r="H11" s="215">
        <f>'Bieu 05'!H11+'Bieu 06'!H11+'Bieu 07'!H11+'Bieu 08'!H11</f>
        <v>207688</v>
      </c>
      <c r="I11" s="215">
        <f>'Bieu 05'!I11+'Bieu 06'!I11+'Bieu 07'!I11+'Bieu 08'!I11</f>
        <v>46375806</v>
      </c>
      <c r="J11" s="215">
        <f>'Bieu 05'!J11+'Bieu 06'!J11+'Bieu 07'!J11+'Bieu 08'!J11</f>
        <v>43660757</v>
      </c>
      <c r="K11" s="215">
        <f>'Bieu 05'!K11+'Bieu 06'!K11+'Bieu 07'!K11+'Bieu 08'!K11</f>
        <v>1874585</v>
      </c>
      <c r="L11" s="215">
        <f>'Bieu 05'!L11+'Bieu 06'!L11+'Bieu 07'!L11+'Bieu 08'!L11</f>
        <v>840464</v>
      </c>
      <c r="M11" s="215">
        <f>'Bieu 05'!M11+'Bieu 06'!M11+'Bieu 07'!M11+'Bieu 08'!M11</f>
        <v>3597293</v>
      </c>
      <c r="N11" s="215">
        <f>'Bieu 05'!N11+'Bieu 06'!N11+'Bieu 07'!N11+'Bieu 08'!N11</f>
        <v>200031807</v>
      </c>
      <c r="O11" s="215">
        <f>'Bieu 05'!O11+'Bieu 06'!O11+'Bieu 07'!O11+'Bieu 08'!O11</f>
        <v>3000000</v>
      </c>
      <c r="P11" s="215">
        <f>'Bieu 05'!P11+'Bieu 06'!P11+'Bieu 07'!P11+'Bieu 08'!P11</f>
        <v>505288</v>
      </c>
      <c r="Q11" s="215">
        <f>'Bieu 05'!Q11+'Bieu 06'!Q11+'Bieu 07'!Q11+'Bieu 08'!Q11</f>
        <v>203537095</v>
      </c>
      <c r="R11" s="478">
        <f t="shared" si="0"/>
        <v>0</v>
      </c>
      <c r="S11" s="478">
        <f t="shared" si="1"/>
        <v>0</v>
      </c>
      <c r="T11" s="478">
        <f t="shared" si="2"/>
        <v>0</v>
      </c>
      <c r="U11" s="478">
        <f t="shared" si="3"/>
        <v>0</v>
      </c>
      <c r="V11" s="478">
        <f t="shared" si="4"/>
        <v>0</v>
      </c>
    </row>
    <row r="12" spans="1:22" ht="12.75" customHeight="1">
      <c r="A12" s="220">
        <v>5</v>
      </c>
      <c r="B12" s="221" t="s">
        <v>71</v>
      </c>
      <c r="C12" s="222">
        <f>'Bieu 05'!C12+'Bieu 06'!C12+'Bieu 07'!C12+'Bieu 08'!C12</f>
        <v>65257813</v>
      </c>
      <c r="D12" s="222">
        <f>'Bieu 05'!D12+'Bieu 06'!D12+'Bieu 07'!D12+'Bieu 08'!D12</f>
        <v>61728515</v>
      </c>
      <c r="E12" s="222">
        <f>'Bieu 05'!E12+'Bieu 06'!E12+'Bieu 07'!E12+'Bieu 08'!E12</f>
        <v>61640000</v>
      </c>
      <c r="F12" s="222">
        <f>'Bieu 05'!F12+'Bieu 06'!F12+'Bieu 07'!F12+'Bieu 08'!F12</f>
        <v>0</v>
      </c>
      <c r="G12" s="222">
        <f>'Bieu 05'!G12+'Bieu 06'!G12+'Bieu 07'!G12+'Bieu 08'!G12</f>
        <v>0</v>
      </c>
      <c r="H12" s="222">
        <f>'Bieu 05'!H12+'Bieu 06'!H12+'Bieu 07'!H12+'Bieu 08'!H12</f>
        <v>88515</v>
      </c>
      <c r="I12" s="222">
        <f>'Bieu 05'!I12+'Bieu 06'!I12+'Bieu 07'!I12+'Bieu 08'!I12</f>
        <v>3529298</v>
      </c>
      <c r="J12" s="222">
        <f>'Bieu 05'!J12+'Bieu 06'!J12+'Bieu 07'!J12+'Bieu 08'!J12</f>
        <v>3123534</v>
      </c>
      <c r="K12" s="222">
        <f>'Bieu 05'!K12+'Bieu 06'!K12+'Bieu 07'!K12+'Bieu 08'!K12</f>
        <v>405764</v>
      </c>
      <c r="L12" s="222">
        <f>'Bieu 05'!L12+'Bieu 06'!L12+'Bieu 07'!L12+'Bieu 08'!L12</f>
        <v>0</v>
      </c>
      <c r="M12" s="222">
        <f>'Bieu 05'!M12+'Bieu 06'!M12+'Bieu 07'!M12+'Bieu 08'!M12</f>
        <v>1474805</v>
      </c>
      <c r="N12" s="222">
        <f>'Bieu 05'!N12+'Bieu 06'!N12+'Bieu 07'!N12+'Bieu 08'!N12</f>
        <v>66732618</v>
      </c>
      <c r="O12" s="222">
        <f>'Bieu 05'!O12+'Bieu 06'!O12+'Bieu 07'!O12+'Bieu 08'!O12</f>
        <v>0</v>
      </c>
      <c r="P12" s="222">
        <f>'Bieu 05'!P12+'Bieu 06'!P12+'Bieu 07'!P12+'Bieu 08'!P12</f>
        <v>0</v>
      </c>
      <c r="Q12" s="467">
        <f>'Bieu 05'!Q12+'Bieu 06'!Q12+'Bieu 07'!Q12+'Bieu 08'!Q12</f>
        <v>66732618</v>
      </c>
      <c r="R12" s="476">
        <f t="shared" si="0"/>
        <v>0</v>
      </c>
      <c r="S12" s="476">
        <f t="shared" si="1"/>
        <v>0</v>
      </c>
      <c r="T12" s="476">
        <f t="shared" si="2"/>
        <v>0</v>
      </c>
      <c r="U12" s="476">
        <f t="shared" si="3"/>
        <v>0</v>
      </c>
      <c r="V12" s="476">
        <f t="shared" si="4"/>
        <v>0</v>
      </c>
    </row>
    <row r="13" spans="1:22" ht="12.75" customHeight="1">
      <c r="A13" s="43">
        <f aca="true" t="shared" si="5" ref="A13:A18">A12+1</f>
        <v>6</v>
      </c>
      <c r="B13" s="44" t="s">
        <v>72</v>
      </c>
      <c r="C13" s="222">
        <f>'Bieu 05'!C13+'Bieu 06'!C13+'Bieu 07'!C13+'Bieu 08'!C13</f>
        <v>43858901</v>
      </c>
      <c r="D13" s="222">
        <f>'Bieu 05'!D13+'Bieu 06'!D13+'Bieu 07'!D13+'Bieu 08'!D13</f>
        <v>9950000</v>
      </c>
      <c r="E13" s="222">
        <f>'Bieu 05'!E13+'Bieu 06'!E13+'Bieu 07'!E13+'Bieu 08'!E13</f>
        <v>9943937</v>
      </c>
      <c r="F13" s="222">
        <f>'Bieu 05'!F13+'Bieu 06'!F13+'Bieu 07'!F13+'Bieu 08'!F13</f>
        <v>0</v>
      </c>
      <c r="G13" s="222">
        <f>'Bieu 05'!G13+'Bieu 06'!G13+'Bieu 07'!G13+'Bieu 08'!G13</f>
        <v>0</v>
      </c>
      <c r="H13" s="222">
        <f>'Bieu 05'!H13+'Bieu 06'!H13+'Bieu 07'!H13+'Bieu 08'!H13</f>
        <v>6063</v>
      </c>
      <c r="I13" s="222">
        <f>'Bieu 05'!I13+'Bieu 06'!I13+'Bieu 07'!I13+'Bieu 08'!I13</f>
        <v>33908901</v>
      </c>
      <c r="J13" s="222">
        <f>'Bieu 05'!J13+'Bieu 06'!J13+'Bieu 07'!J13+'Bieu 08'!J13</f>
        <v>31737126</v>
      </c>
      <c r="K13" s="222">
        <f>'Bieu 05'!K13+'Bieu 06'!K13+'Bieu 07'!K13+'Bieu 08'!K13</f>
        <v>1331311</v>
      </c>
      <c r="L13" s="222">
        <f>'Bieu 05'!L13+'Bieu 06'!L13+'Bieu 07'!L13+'Bieu 08'!L13</f>
        <v>840464</v>
      </c>
      <c r="M13" s="222">
        <f>'Bieu 05'!M13+'Bieu 06'!M13+'Bieu 07'!M13+'Bieu 08'!M13</f>
        <v>1591708</v>
      </c>
      <c r="N13" s="222">
        <f>'Bieu 05'!N13+'Bieu 06'!N13+'Bieu 07'!N13+'Bieu 08'!N13</f>
        <v>45450609</v>
      </c>
      <c r="O13" s="222">
        <f>'Bieu 05'!O13+'Bieu 06'!O13+'Bieu 07'!O13+'Bieu 08'!O13</f>
        <v>0</v>
      </c>
      <c r="P13" s="222">
        <f>'Bieu 05'!P13+'Bieu 06'!P13+'Bieu 07'!P13+'Bieu 08'!P13</f>
        <v>0</v>
      </c>
      <c r="Q13" s="467">
        <f>'Bieu 05'!Q13+'Bieu 06'!Q13+'Bieu 07'!Q13+'Bieu 08'!Q13</f>
        <v>45450609</v>
      </c>
      <c r="R13" s="476">
        <f t="shared" si="0"/>
        <v>0</v>
      </c>
      <c r="S13" s="476">
        <f t="shared" si="1"/>
        <v>0</v>
      </c>
      <c r="T13" s="476">
        <f t="shared" si="2"/>
        <v>0</v>
      </c>
      <c r="U13" s="476">
        <f t="shared" si="3"/>
        <v>0</v>
      </c>
      <c r="V13" s="476">
        <f t="shared" si="4"/>
        <v>0</v>
      </c>
    </row>
    <row r="14" spans="1:22" ht="12.75" customHeight="1">
      <c r="A14" s="43">
        <f t="shared" si="5"/>
        <v>7</v>
      </c>
      <c r="B14" s="44" t="s">
        <v>108</v>
      </c>
      <c r="C14" s="222">
        <f>'Bieu 05'!C14+'Bieu 06'!C14+'Bieu 07'!C14+'Bieu 08'!C14</f>
        <v>18300000</v>
      </c>
      <c r="D14" s="222">
        <f>'Bieu 05'!D14+'Bieu 06'!D14+'Bieu 07'!D14+'Bieu 08'!D14</f>
        <v>18300000</v>
      </c>
      <c r="E14" s="222">
        <f>'Bieu 05'!E14+'Bieu 06'!E14+'Bieu 07'!E14+'Bieu 08'!E14</f>
        <v>18275664</v>
      </c>
      <c r="F14" s="222">
        <f>'Bieu 05'!F14+'Bieu 06'!F14+'Bieu 07'!F14+'Bieu 08'!F14</f>
        <v>0</v>
      </c>
      <c r="G14" s="222">
        <f>'Bieu 05'!G14+'Bieu 06'!G14+'Bieu 07'!G14+'Bieu 08'!G14</f>
        <v>0</v>
      </c>
      <c r="H14" s="222">
        <f>'Bieu 05'!H14+'Bieu 06'!H14+'Bieu 07'!H14+'Bieu 08'!H14</f>
        <v>24336</v>
      </c>
      <c r="I14" s="222">
        <f>'Bieu 05'!I14+'Bieu 06'!I14+'Bieu 07'!I14+'Bieu 08'!I14</f>
        <v>0</v>
      </c>
      <c r="J14" s="222">
        <f>'Bieu 05'!J14+'Bieu 06'!J14+'Bieu 07'!J14+'Bieu 08'!J14</f>
        <v>0</v>
      </c>
      <c r="K14" s="222">
        <f>'Bieu 05'!K14+'Bieu 06'!K14+'Bieu 07'!K14+'Bieu 08'!K14</f>
        <v>0</v>
      </c>
      <c r="L14" s="222">
        <f>'Bieu 05'!L14+'Bieu 06'!L14+'Bieu 07'!L14+'Bieu 08'!L14</f>
        <v>0</v>
      </c>
      <c r="M14" s="222">
        <f>'Bieu 05'!M14+'Bieu 06'!M14+'Bieu 07'!M14+'Bieu 08'!M14</f>
        <v>137419</v>
      </c>
      <c r="N14" s="467">
        <f>'Bieu 05'!N14+'Bieu 06'!N14+'Bieu 07'!N14+'Bieu 08'!N14</f>
        <v>18437419</v>
      </c>
      <c r="O14" s="222">
        <f>'Bieu 05'!O14+'Bieu 06'!O14+'Bieu 07'!O14+'Bieu 08'!O14</f>
        <v>0</v>
      </c>
      <c r="P14" s="222">
        <f>'Bieu 05'!P14+'Bieu 06'!P14+'Bieu 07'!P14+'Bieu 08'!P14</f>
        <v>479790</v>
      </c>
      <c r="Q14" s="222">
        <f>'Bieu 05'!Q14+'Bieu 06'!Q14+'Bieu 07'!Q14+'Bieu 08'!Q14</f>
        <v>18917209</v>
      </c>
      <c r="R14" s="476">
        <f t="shared" si="0"/>
        <v>0</v>
      </c>
      <c r="S14" s="476">
        <f t="shared" si="1"/>
        <v>0</v>
      </c>
      <c r="T14" s="476">
        <f t="shared" si="2"/>
        <v>0</v>
      </c>
      <c r="U14" s="476">
        <f t="shared" si="3"/>
        <v>0</v>
      </c>
      <c r="V14" s="476">
        <f t="shared" si="4"/>
        <v>0</v>
      </c>
    </row>
    <row r="15" spans="1:22" ht="12.75" customHeight="1">
      <c r="A15" s="220">
        <f t="shared" si="5"/>
        <v>8</v>
      </c>
      <c r="B15" s="44" t="s">
        <v>73</v>
      </c>
      <c r="C15" s="222">
        <f>'Bieu 05'!C15+'Bieu 06'!C15+'Bieu 07'!C15+'Bieu 08'!C15</f>
        <v>38732164</v>
      </c>
      <c r="D15" s="222">
        <f>'Bieu 05'!D15+'Bieu 06'!D15+'Bieu 07'!D15+'Bieu 08'!D15</f>
        <v>30106557</v>
      </c>
      <c r="E15" s="222">
        <f>'Bieu 05'!E15+'Bieu 06'!E15+'Bieu 07'!E15+'Bieu 08'!E15</f>
        <v>30064000</v>
      </c>
      <c r="F15" s="222">
        <f>'Bieu 05'!F15+'Bieu 06'!F15+'Bieu 07'!F15+'Bieu 08'!F15</f>
        <v>0</v>
      </c>
      <c r="G15" s="222">
        <f>'Bieu 05'!G15+'Bieu 06'!G15+'Bieu 07'!G15+'Bieu 08'!G15</f>
        <v>0</v>
      </c>
      <c r="H15" s="222">
        <f>'Bieu 05'!H15+'Bieu 06'!H15+'Bieu 07'!H15+'Bieu 08'!H15</f>
        <v>42557</v>
      </c>
      <c r="I15" s="222">
        <f>'Bieu 05'!I15+'Bieu 06'!I15+'Bieu 07'!I15+'Bieu 08'!I15</f>
        <v>8625607</v>
      </c>
      <c r="J15" s="222">
        <f>'Bieu 05'!J15+'Bieu 06'!J15+'Bieu 07'!J15+'Bieu 08'!J15</f>
        <v>8488097</v>
      </c>
      <c r="K15" s="222">
        <f>'Bieu 05'!K15+'Bieu 06'!K15+'Bieu 07'!K15+'Bieu 08'!K15</f>
        <v>137510</v>
      </c>
      <c r="L15" s="222">
        <f>'Bieu 05'!L15+'Bieu 06'!L15+'Bieu 07'!L15+'Bieu 08'!L15</f>
        <v>0</v>
      </c>
      <c r="M15" s="222">
        <f>'Bieu 05'!M15+'Bieu 06'!M15+'Bieu 07'!M15+'Bieu 08'!M15</f>
        <v>307640</v>
      </c>
      <c r="N15" s="467">
        <f>'Bieu 05'!N15+'Bieu 06'!N15+'Bieu 07'!N15+'Bieu 08'!N15</f>
        <v>39039804</v>
      </c>
      <c r="O15" s="222">
        <f>'Bieu 05'!O15+'Bieu 06'!O15+'Bieu 07'!O15+'Bieu 08'!O15</f>
        <v>3000000</v>
      </c>
      <c r="P15" s="222">
        <f>'Bieu 05'!P15+'Bieu 06'!P15+'Bieu 07'!P15+'Bieu 08'!P15</f>
        <v>0</v>
      </c>
      <c r="Q15" s="222">
        <f>'Bieu 05'!Q15+'Bieu 06'!Q15+'Bieu 07'!Q15+'Bieu 08'!Q15</f>
        <v>42039804</v>
      </c>
      <c r="R15" s="476">
        <f t="shared" si="0"/>
        <v>0</v>
      </c>
      <c r="S15" s="476">
        <f t="shared" si="1"/>
        <v>0</v>
      </c>
      <c r="T15" s="476">
        <f t="shared" si="2"/>
        <v>0</v>
      </c>
      <c r="U15" s="476">
        <f t="shared" si="3"/>
        <v>0</v>
      </c>
      <c r="V15" s="476">
        <f t="shared" si="4"/>
        <v>0</v>
      </c>
    </row>
    <row r="16" spans="1:22" ht="12.75" customHeight="1">
      <c r="A16" s="43">
        <f t="shared" si="5"/>
        <v>9</v>
      </c>
      <c r="B16" s="44" t="s">
        <v>75</v>
      </c>
      <c r="C16" s="222">
        <f>'Bieu 05'!C16+'Bieu 06'!C16+'Bieu 07'!C16+'Bieu 08'!C16</f>
        <v>15535636</v>
      </c>
      <c r="D16" s="222">
        <f>'Bieu 05'!D16+'Bieu 06'!D16+'Bieu 07'!D16+'Bieu 08'!D16</f>
        <v>15223636</v>
      </c>
      <c r="E16" s="222">
        <f>'Bieu 05'!E16+'Bieu 06'!E16+'Bieu 07'!E16+'Bieu 08'!E16</f>
        <v>15176364</v>
      </c>
      <c r="F16" s="222">
        <f>'Bieu 05'!F16+'Bieu 06'!F16+'Bieu 07'!F16+'Bieu 08'!F16</f>
        <v>23636</v>
      </c>
      <c r="G16" s="222">
        <f>'Bieu 05'!G16+'Bieu 06'!G16+'Bieu 07'!G16+'Bieu 08'!G16</f>
        <v>0</v>
      </c>
      <c r="H16" s="222">
        <f>'Bieu 05'!H16+'Bieu 06'!H16+'Bieu 07'!H16+'Bieu 08'!H16</f>
        <v>23636</v>
      </c>
      <c r="I16" s="222">
        <f>'Bieu 05'!I16+'Bieu 06'!I16+'Bieu 07'!I16+'Bieu 08'!I16</f>
        <v>312000</v>
      </c>
      <c r="J16" s="222">
        <f>'Bieu 05'!J16+'Bieu 06'!J16+'Bieu 07'!J16+'Bieu 08'!J16</f>
        <v>312000</v>
      </c>
      <c r="K16" s="222">
        <f>'Bieu 05'!K16+'Bieu 06'!K16+'Bieu 07'!K16+'Bieu 08'!K16</f>
        <v>0</v>
      </c>
      <c r="L16" s="222">
        <f>'Bieu 05'!L16+'Bieu 06'!L16+'Bieu 07'!L16+'Bieu 08'!L16</f>
        <v>0</v>
      </c>
      <c r="M16" s="222">
        <f>'Bieu 05'!M16+'Bieu 06'!M16+'Bieu 07'!M16+'Bieu 08'!M16</f>
        <v>85721</v>
      </c>
      <c r="N16" s="222">
        <f>'Bieu 05'!N16+'Bieu 06'!N16+'Bieu 07'!N16+'Bieu 08'!N16</f>
        <v>15621357</v>
      </c>
      <c r="O16" s="222">
        <f>'Bieu 05'!O16+'Bieu 06'!O16+'Bieu 07'!O16+'Bieu 08'!O16</f>
        <v>0</v>
      </c>
      <c r="P16" s="222">
        <f>'Bieu 05'!P16+'Bieu 06'!P16+'Bieu 07'!P16+'Bieu 08'!P16</f>
        <v>0</v>
      </c>
      <c r="Q16" s="467">
        <f>'Bieu 05'!Q16+'Bieu 06'!Q16+'Bieu 07'!Q16+'Bieu 08'!Q16</f>
        <v>15621357</v>
      </c>
      <c r="R16" s="476">
        <f t="shared" si="0"/>
        <v>0</v>
      </c>
      <c r="S16" s="476">
        <f t="shared" si="1"/>
        <v>0</v>
      </c>
      <c r="T16" s="476">
        <f t="shared" si="2"/>
        <v>0</v>
      </c>
      <c r="U16" s="476">
        <f t="shared" si="3"/>
        <v>0</v>
      </c>
      <c r="V16" s="476">
        <f t="shared" si="4"/>
        <v>0</v>
      </c>
    </row>
    <row r="17" spans="1:22" ht="12.75" customHeight="1">
      <c r="A17" s="43">
        <f t="shared" si="5"/>
        <v>10</v>
      </c>
      <c r="B17" s="44" t="s">
        <v>109</v>
      </c>
      <c r="C17" s="222">
        <f>'Bieu 05'!C17+'Bieu 06'!C17+'Bieu 07'!C17+'Bieu 08'!C17</f>
        <v>14600000</v>
      </c>
      <c r="D17" s="222">
        <f>'Bieu 05'!D17+'Bieu 06'!D17+'Bieu 07'!D17+'Bieu 08'!D17</f>
        <v>14600000</v>
      </c>
      <c r="E17" s="222">
        <f>'Bieu 05'!E17+'Bieu 06'!E17+'Bieu 07'!E17+'Bieu 08'!E17</f>
        <v>14577419</v>
      </c>
      <c r="F17" s="222">
        <f>'Bieu 05'!F17+'Bieu 06'!F17+'Bieu 07'!F17+'Bieu 08'!F17</f>
        <v>0</v>
      </c>
      <c r="G17" s="222">
        <f>'Bieu 05'!G17+'Bieu 06'!G17+'Bieu 07'!G17+'Bieu 08'!G17</f>
        <v>0</v>
      </c>
      <c r="H17" s="222">
        <f>'Bieu 05'!H17+'Bieu 06'!H17+'Bieu 07'!H17+'Bieu 08'!H17</f>
        <v>22581</v>
      </c>
      <c r="I17" s="222">
        <f>'Bieu 05'!I17+'Bieu 06'!I17+'Bieu 07'!I17+'Bieu 08'!I17</f>
        <v>0</v>
      </c>
      <c r="J17" s="222">
        <f>'Bieu 05'!J17+'Bieu 06'!J17+'Bieu 07'!J17+'Bieu 08'!J17</f>
        <v>0</v>
      </c>
      <c r="K17" s="222">
        <f>'Bieu 05'!K17+'Bieu 06'!K17+'Bieu 07'!K17+'Bieu 08'!K17</f>
        <v>0</v>
      </c>
      <c r="L17" s="222">
        <f>'Bieu 05'!L17+'Bieu 06'!L17+'Bieu 07'!L17+'Bieu 08'!L17</f>
        <v>0</v>
      </c>
      <c r="M17" s="222">
        <f>'Bieu 05'!M17+'Bieu 06'!M17+'Bieu 07'!M17+'Bieu 08'!M17</f>
        <v>0</v>
      </c>
      <c r="N17" s="467">
        <f>'Bieu 05'!N17+'Bieu 06'!N17+'Bieu 07'!N17+'Bieu 08'!N17</f>
        <v>14600000</v>
      </c>
      <c r="O17" s="222">
        <f>'Bieu 05'!O17+'Bieu 06'!O17+'Bieu 07'!O17+'Bieu 08'!O17</f>
        <v>0</v>
      </c>
      <c r="P17" s="222">
        <f>'Bieu 05'!P17+'Bieu 06'!P17+'Bieu 07'!P17+'Bieu 08'!P17</f>
        <v>25498</v>
      </c>
      <c r="Q17" s="222">
        <f>'Bieu 05'!Q17+'Bieu 06'!Q17+'Bieu 07'!Q17+'Bieu 08'!Q17</f>
        <v>14625498</v>
      </c>
      <c r="R17" s="476">
        <f t="shared" si="0"/>
        <v>0</v>
      </c>
      <c r="S17" s="476">
        <f t="shared" si="1"/>
        <v>0</v>
      </c>
      <c r="T17" s="476">
        <f t="shared" si="2"/>
        <v>0</v>
      </c>
      <c r="U17" s="476">
        <f t="shared" si="3"/>
        <v>0</v>
      </c>
      <c r="V17" s="476">
        <f t="shared" si="4"/>
        <v>0</v>
      </c>
    </row>
    <row r="18" spans="1:22" ht="12.75" customHeight="1">
      <c r="A18" s="220">
        <f t="shared" si="5"/>
        <v>11</v>
      </c>
      <c r="B18" s="209" t="s">
        <v>77</v>
      </c>
      <c r="C18" s="238">
        <f>'Bieu 05'!C18+'Bieu 06'!C18+'Bieu 07'!C18+'Bieu 08'!C18</f>
        <v>150000</v>
      </c>
      <c r="D18" s="238">
        <f>'Bieu 05'!D18+'Bieu 06'!D18+'Bieu 07'!D18+'Bieu 08'!D18</f>
        <v>150000</v>
      </c>
      <c r="E18" s="238">
        <f>'Bieu 05'!E18+'Bieu 06'!E18+'Bieu 07'!E18+'Bieu 08'!E18</f>
        <v>150000</v>
      </c>
      <c r="F18" s="238">
        <f>'Bieu 05'!F18+'Bieu 06'!F18+'Bieu 07'!F18+'Bieu 08'!F18</f>
        <v>0</v>
      </c>
      <c r="G18" s="238">
        <f>'Bieu 05'!G18+'Bieu 06'!G18+'Bieu 07'!G18+'Bieu 08'!G18</f>
        <v>0</v>
      </c>
      <c r="H18" s="238">
        <f>'Bieu 05'!H18+'Bieu 06'!H18+'Bieu 07'!H18+'Bieu 08'!H18</f>
        <v>0</v>
      </c>
      <c r="I18" s="238">
        <f>'Bieu 05'!I18+'Bieu 06'!I18+'Bieu 07'!I18+'Bieu 08'!I18</f>
        <v>0</v>
      </c>
      <c r="J18" s="238">
        <f>'Bieu 05'!J18+'Bieu 06'!J18+'Bieu 07'!J18+'Bieu 08'!J18</f>
        <v>0</v>
      </c>
      <c r="K18" s="238">
        <f>'Bieu 05'!K18+'Bieu 06'!K18+'Bieu 07'!K18+'Bieu 08'!K18</f>
        <v>0</v>
      </c>
      <c r="L18" s="238">
        <f>'Bieu 05'!L18+'Bieu 06'!L18+'Bieu 07'!L18+'Bieu 08'!L18</f>
        <v>0</v>
      </c>
      <c r="M18" s="238">
        <f>'Bieu 05'!M18+'Bieu 06'!M18+'Bieu 07'!M18+'Bieu 08'!M18</f>
        <v>0</v>
      </c>
      <c r="N18" s="238">
        <f>'Bieu 05'!N18+'Bieu 06'!N18+'Bieu 07'!N18+'Bieu 08'!N18</f>
        <v>150000</v>
      </c>
      <c r="O18" s="238">
        <f>'Bieu 05'!O18+'Bieu 06'!O18+'Bieu 07'!O18+'Bieu 08'!O18</f>
        <v>0</v>
      </c>
      <c r="P18" s="238">
        <f>'Bieu 05'!P18+'Bieu 06'!P18+'Bieu 07'!P18+'Bieu 08'!P18</f>
        <v>0</v>
      </c>
      <c r="Q18" s="477">
        <f>'Bieu 05'!Q18+'Bieu 06'!Q18+'Bieu 07'!Q18+'Bieu 08'!Q18</f>
        <v>150000</v>
      </c>
      <c r="R18" s="476">
        <f t="shared" si="0"/>
        <v>0</v>
      </c>
      <c r="S18" s="476">
        <f t="shared" si="1"/>
        <v>0</v>
      </c>
      <c r="T18" s="476">
        <f t="shared" si="2"/>
        <v>0</v>
      </c>
      <c r="U18" s="476">
        <f t="shared" si="3"/>
        <v>0</v>
      </c>
      <c r="V18" s="476">
        <f t="shared" si="4"/>
        <v>0</v>
      </c>
    </row>
    <row r="19" spans="1:22" s="219" customFormat="1" ht="12.75" customHeight="1">
      <c r="A19" s="213" t="s">
        <v>110</v>
      </c>
      <c r="B19" s="214" t="s">
        <v>63</v>
      </c>
      <c r="C19" s="215">
        <f>'Bieu 05'!C19+'Bieu 06'!C19+'Bieu 07'!C19+'Bieu 08'!C19</f>
        <v>149138735</v>
      </c>
      <c r="D19" s="215">
        <f>'Bieu 05'!D19+'Bieu 06'!D19+'Bieu 07'!D19+'Bieu 08'!D19</f>
        <v>20400000</v>
      </c>
      <c r="E19" s="215">
        <f>'Bieu 05'!E19+'Bieu 06'!E19+'Bieu 07'!E19+'Bieu 08'!E19</f>
        <v>20394728</v>
      </c>
      <c r="F19" s="215">
        <f>'Bieu 05'!F19+'Bieu 06'!F19+'Bieu 07'!F19+'Bieu 08'!F19</f>
        <v>0</v>
      </c>
      <c r="G19" s="215">
        <f>'Bieu 05'!G19+'Bieu 06'!G19+'Bieu 07'!G19+'Bieu 08'!G19</f>
        <v>0</v>
      </c>
      <c r="H19" s="215">
        <f>'Bieu 05'!H19+'Bieu 06'!H19+'Bieu 07'!H19+'Bieu 08'!H19</f>
        <v>5272</v>
      </c>
      <c r="I19" s="215">
        <f>'Bieu 05'!I19+'Bieu 06'!I19+'Bieu 07'!I19+'Bieu 08'!I19</f>
        <v>128738735</v>
      </c>
      <c r="J19" s="215">
        <f>'Bieu 05'!J19+'Bieu 06'!J19+'Bieu 07'!J19+'Bieu 08'!J19</f>
        <v>122257422</v>
      </c>
      <c r="K19" s="215">
        <f>'Bieu 05'!K19+'Bieu 06'!K19+'Bieu 07'!K19+'Bieu 08'!K19</f>
        <v>6462163</v>
      </c>
      <c r="L19" s="215">
        <f>'Bieu 05'!L19+'Bieu 06'!L19+'Bieu 07'!L19+'Bieu 08'!L19</f>
        <v>19150</v>
      </c>
      <c r="M19" s="215">
        <f>'Bieu 05'!M19+'Bieu 06'!M19+'Bieu 07'!M19+'Bieu 08'!M19</f>
        <v>4745342</v>
      </c>
      <c r="N19" s="215">
        <f>'Bieu 05'!N19+'Bieu 06'!N19+'Bieu 07'!N19+'Bieu 08'!N19</f>
        <v>153884077</v>
      </c>
      <c r="O19" s="215">
        <f>'Bieu 05'!O19+'Bieu 06'!O19+'Bieu 07'!O19+'Bieu 08'!O19</f>
        <v>5000000</v>
      </c>
      <c r="P19" s="215">
        <f>'Bieu 05'!P19+'Bieu 06'!P19+'Bieu 07'!P19+'Bieu 08'!P19</f>
        <v>7596839</v>
      </c>
      <c r="Q19" s="215">
        <f>'Bieu 05'!Q19+'Bieu 06'!Q19+'Bieu 07'!Q19+'Bieu 08'!Q19</f>
        <v>166480916</v>
      </c>
      <c r="R19" s="478">
        <f t="shared" si="0"/>
        <v>0</v>
      </c>
      <c r="S19" s="478">
        <f t="shared" si="1"/>
        <v>0</v>
      </c>
      <c r="T19" s="478">
        <f t="shared" si="2"/>
        <v>0</v>
      </c>
      <c r="U19" s="478">
        <f t="shared" si="3"/>
        <v>0</v>
      </c>
      <c r="V19" s="478">
        <f t="shared" si="4"/>
        <v>0</v>
      </c>
    </row>
    <row r="20" spans="1:22" ht="12.75" customHeight="1">
      <c r="A20" s="220">
        <v>12</v>
      </c>
      <c r="B20" s="221" t="s">
        <v>78</v>
      </c>
      <c r="C20" s="222">
        <f>'Bieu 05'!C20+'Bieu 06'!C20+'Bieu 07'!C20+'Bieu 08'!C20</f>
        <v>11624954</v>
      </c>
      <c r="D20" s="222">
        <f>'Bieu 05'!D20+'Bieu 06'!D20+'Bieu 07'!D20+'Bieu 08'!D20</f>
        <v>10400000</v>
      </c>
      <c r="E20" s="222">
        <f>'Bieu 05'!E20+'Bieu 06'!E20+'Bieu 07'!E20+'Bieu 08'!E20</f>
        <v>10400000</v>
      </c>
      <c r="F20" s="222">
        <f>'Bieu 05'!F20+'Bieu 06'!F20+'Bieu 07'!F20+'Bieu 08'!F20</f>
        <v>0</v>
      </c>
      <c r="G20" s="222">
        <f>'Bieu 05'!G20+'Bieu 06'!G20+'Bieu 07'!G20+'Bieu 08'!G20</f>
        <v>0</v>
      </c>
      <c r="H20" s="222">
        <f>'Bieu 05'!H20+'Bieu 06'!H20+'Bieu 07'!H20+'Bieu 08'!H20</f>
        <v>0</v>
      </c>
      <c r="I20" s="222">
        <f>'Bieu 05'!I20+'Bieu 06'!I20+'Bieu 07'!I20+'Bieu 08'!I20</f>
        <v>1224954</v>
      </c>
      <c r="J20" s="222">
        <f>'Bieu 05'!J20+'Bieu 06'!J20+'Bieu 07'!J20+'Bieu 08'!J20</f>
        <v>234000</v>
      </c>
      <c r="K20" s="222">
        <f>'Bieu 05'!K20+'Bieu 06'!K20+'Bieu 07'!K20+'Bieu 08'!K20</f>
        <v>976204</v>
      </c>
      <c r="L20" s="222">
        <f>'Bieu 05'!L20+'Bieu 06'!L20+'Bieu 07'!L20+'Bieu 08'!L20</f>
        <v>14750</v>
      </c>
      <c r="M20" s="222">
        <f>'Bieu 05'!M20+'Bieu 06'!M20+'Bieu 07'!M20+'Bieu 08'!M20</f>
        <v>185218</v>
      </c>
      <c r="N20" s="222">
        <f>'Bieu 05'!N20+'Bieu 06'!N20+'Bieu 07'!N20+'Bieu 08'!N20</f>
        <v>11810172</v>
      </c>
      <c r="O20" s="222">
        <f>'Bieu 05'!O20+'Bieu 06'!O20+'Bieu 07'!O20+'Bieu 08'!O20</f>
        <v>0</v>
      </c>
      <c r="P20" s="222">
        <f>'Bieu 05'!P20+'Bieu 06'!P20+'Bieu 07'!P20+'Bieu 08'!P20</f>
        <v>0</v>
      </c>
      <c r="Q20" s="467">
        <f>'Bieu 05'!Q20+'Bieu 06'!Q20+'Bieu 07'!Q20+'Bieu 08'!Q20</f>
        <v>11810172</v>
      </c>
      <c r="R20" s="476">
        <f t="shared" si="0"/>
        <v>0</v>
      </c>
      <c r="S20" s="476">
        <f t="shared" si="1"/>
        <v>0</v>
      </c>
      <c r="T20" s="476">
        <f t="shared" si="2"/>
        <v>0</v>
      </c>
      <c r="U20" s="476">
        <f t="shared" si="3"/>
        <v>0</v>
      </c>
      <c r="V20" s="476">
        <f t="shared" si="4"/>
        <v>0</v>
      </c>
    </row>
    <row r="21" spans="1:22" ht="12.75" customHeight="1">
      <c r="A21" s="43">
        <v>13</v>
      </c>
      <c r="B21" s="44" t="s">
        <v>79</v>
      </c>
      <c r="C21" s="222">
        <f>'Bieu 05'!C21+'Bieu 06'!C21+'Bieu 07'!C21+'Bieu 08'!C21</f>
        <v>101640101</v>
      </c>
      <c r="D21" s="222">
        <f>'Bieu 05'!D21+'Bieu 06'!D21+'Bieu 07'!D21+'Bieu 08'!D21</f>
        <v>10000000</v>
      </c>
      <c r="E21" s="222">
        <f>'Bieu 05'!E21+'Bieu 06'!E21+'Bieu 07'!E21+'Bieu 08'!E21</f>
        <v>9994728</v>
      </c>
      <c r="F21" s="222">
        <f>'Bieu 05'!F21+'Bieu 06'!F21+'Bieu 07'!F21+'Bieu 08'!F21</f>
        <v>0</v>
      </c>
      <c r="G21" s="222">
        <f>'Bieu 05'!G21+'Bieu 06'!G21+'Bieu 07'!G21+'Bieu 08'!G21</f>
        <v>0</v>
      </c>
      <c r="H21" s="222">
        <f>'Bieu 05'!H21+'Bieu 06'!H21+'Bieu 07'!H21+'Bieu 08'!H21</f>
        <v>5272</v>
      </c>
      <c r="I21" s="222">
        <f>'Bieu 05'!I21+'Bieu 06'!I21+'Bieu 07'!I21+'Bieu 08'!I21</f>
        <v>91640101</v>
      </c>
      <c r="J21" s="222">
        <f>'Bieu 05'!J21+'Bieu 06'!J21+'Bieu 07'!J21+'Bieu 08'!J21</f>
        <v>91585379</v>
      </c>
      <c r="K21" s="222">
        <f>'Bieu 05'!K21+'Bieu 06'!K21+'Bieu 07'!K21+'Bieu 08'!K21</f>
        <v>54722</v>
      </c>
      <c r="L21" s="222">
        <f>'Bieu 05'!L21+'Bieu 06'!L21+'Bieu 07'!L21+'Bieu 08'!L21</f>
        <v>0</v>
      </c>
      <c r="M21" s="222">
        <f>'Bieu 05'!M21+'Bieu 06'!M21+'Bieu 07'!M21+'Bieu 08'!M21</f>
        <v>4023841</v>
      </c>
      <c r="N21" s="467">
        <f>'Bieu 05'!N21+'Bieu 06'!N21+'Bieu 07'!N21+'Bieu 08'!N21</f>
        <v>105663942</v>
      </c>
      <c r="O21" s="222">
        <f>'Bieu 05'!O21+'Bieu 06'!O21+'Bieu 07'!O21+'Bieu 08'!O21</f>
        <v>0</v>
      </c>
      <c r="P21" s="222">
        <f>'Bieu 05'!P21+'Bieu 06'!P21+'Bieu 07'!P21+'Bieu 08'!P21</f>
        <v>1523279</v>
      </c>
      <c r="Q21" s="222">
        <f>'Bieu 05'!Q21+'Bieu 06'!Q21+'Bieu 07'!Q21+'Bieu 08'!Q21</f>
        <v>107187221</v>
      </c>
      <c r="R21" s="476">
        <f t="shared" si="0"/>
        <v>0</v>
      </c>
      <c r="S21" s="476">
        <f t="shared" si="1"/>
        <v>0</v>
      </c>
      <c r="T21" s="476">
        <f t="shared" si="2"/>
        <v>0</v>
      </c>
      <c r="U21" s="476">
        <f t="shared" si="3"/>
        <v>0</v>
      </c>
      <c r="V21" s="476">
        <f t="shared" si="4"/>
        <v>0</v>
      </c>
    </row>
    <row r="22" spans="1:22" ht="12.75" customHeight="1">
      <c r="A22" s="43">
        <f>A21+1</f>
        <v>14</v>
      </c>
      <c r="B22" s="44" t="s">
        <v>111</v>
      </c>
      <c r="C22" s="222">
        <f>'Bieu 05'!C22+'Bieu 06'!C22+'Bieu 07'!C22+'Bieu 08'!C22</f>
        <v>7084437</v>
      </c>
      <c r="D22" s="222">
        <f>'Bieu 05'!D22+'Bieu 06'!D22+'Bieu 07'!D22+'Bieu 08'!D22</f>
        <v>0</v>
      </c>
      <c r="E22" s="222">
        <f>'Bieu 05'!E22+'Bieu 06'!E22+'Bieu 07'!E22+'Bieu 08'!E22</f>
        <v>0</v>
      </c>
      <c r="F22" s="222">
        <f>'Bieu 05'!F22+'Bieu 06'!F22+'Bieu 07'!F22+'Bieu 08'!F22</f>
        <v>0</v>
      </c>
      <c r="G22" s="222">
        <f>'Bieu 05'!G22+'Bieu 06'!G22+'Bieu 07'!G22+'Bieu 08'!G22</f>
        <v>0</v>
      </c>
      <c r="H22" s="222">
        <f>'Bieu 05'!H22+'Bieu 06'!H22+'Bieu 07'!H22+'Bieu 08'!H22</f>
        <v>0</v>
      </c>
      <c r="I22" s="222">
        <f>'Bieu 05'!I22+'Bieu 06'!I22+'Bieu 07'!I22+'Bieu 08'!I22</f>
        <v>7084437</v>
      </c>
      <c r="J22" s="222">
        <f>'Bieu 05'!J22+'Bieu 06'!J22+'Bieu 07'!J22+'Bieu 08'!J22</f>
        <v>6572295</v>
      </c>
      <c r="K22" s="222">
        <f>'Bieu 05'!K22+'Bieu 06'!K22+'Bieu 07'!K22+'Bieu 08'!K22</f>
        <v>507742</v>
      </c>
      <c r="L22" s="222">
        <f>'Bieu 05'!L22+'Bieu 06'!L22+'Bieu 07'!L22+'Bieu 08'!L22</f>
        <v>4400</v>
      </c>
      <c r="M22" s="222">
        <f>'Bieu 05'!M22+'Bieu 06'!M22+'Bieu 07'!M22+'Bieu 08'!M22</f>
        <v>327129</v>
      </c>
      <c r="N22" s="467">
        <f>'Bieu 05'!N22+'Bieu 06'!N22+'Bieu 07'!N22+'Bieu 08'!N22</f>
        <v>7411566</v>
      </c>
      <c r="O22" s="222">
        <f>'Bieu 05'!O22+'Bieu 06'!O22+'Bieu 07'!O22+'Bieu 08'!O22</f>
        <v>5000000</v>
      </c>
      <c r="P22" s="222">
        <f>'Bieu 05'!P22+'Bieu 06'!P22+'Bieu 07'!P22+'Bieu 08'!P22</f>
        <v>5774627</v>
      </c>
      <c r="Q22" s="222">
        <f>'Bieu 05'!Q22+'Bieu 06'!Q22+'Bieu 07'!Q22+'Bieu 08'!Q22</f>
        <v>18186193</v>
      </c>
      <c r="R22" s="476">
        <f t="shared" si="0"/>
        <v>0</v>
      </c>
      <c r="S22" s="476">
        <f t="shared" si="1"/>
        <v>0</v>
      </c>
      <c r="T22" s="476">
        <f t="shared" si="2"/>
        <v>0</v>
      </c>
      <c r="U22" s="476">
        <f t="shared" si="3"/>
        <v>0</v>
      </c>
      <c r="V22" s="476">
        <f t="shared" si="4"/>
        <v>0</v>
      </c>
    </row>
    <row r="23" spans="1:22" ht="12.75" customHeight="1">
      <c r="A23" s="220">
        <f>A22+1</f>
        <v>15</v>
      </c>
      <c r="B23" s="44" t="s">
        <v>112</v>
      </c>
      <c r="C23" s="222">
        <f>'Bieu 05'!C23+'Bieu 06'!C23+'Bieu 07'!C23+'Bieu 08'!C23</f>
        <v>15836829</v>
      </c>
      <c r="D23" s="222">
        <f>'Bieu 05'!D23+'Bieu 06'!D23+'Bieu 07'!D23+'Bieu 08'!D23</f>
        <v>0</v>
      </c>
      <c r="E23" s="222">
        <f>'Bieu 05'!E23+'Bieu 06'!E23+'Bieu 07'!E23+'Bieu 08'!E23</f>
        <v>0</v>
      </c>
      <c r="F23" s="222">
        <f>'Bieu 05'!F23+'Bieu 06'!F23+'Bieu 07'!F23+'Bieu 08'!F23</f>
        <v>0</v>
      </c>
      <c r="G23" s="222">
        <f>'Bieu 05'!G23+'Bieu 06'!G23+'Bieu 07'!G23+'Bieu 08'!G23</f>
        <v>0</v>
      </c>
      <c r="H23" s="222">
        <f>'Bieu 05'!H23+'Bieu 06'!H23+'Bieu 07'!H23+'Bieu 08'!H23</f>
        <v>0</v>
      </c>
      <c r="I23" s="222">
        <f>'Bieu 05'!I23+'Bieu 06'!I23+'Bieu 07'!I23+'Bieu 08'!I23</f>
        <v>15836829</v>
      </c>
      <c r="J23" s="222">
        <f>'Bieu 05'!J23+'Bieu 06'!J23+'Bieu 07'!J23+'Bieu 08'!J23</f>
        <v>15564124</v>
      </c>
      <c r="K23" s="222">
        <f>'Bieu 05'!K23+'Bieu 06'!K23+'Bieu 07'!K23+'Bieu 08'!K23</f>
        <v>272705</v>
      </c>
      <c r="L23" s="222">
        <f>'Bieu 05'!L23+'Bieu 06'!L23+'Bieu 07'!L23+'Bieu 08'!L23</f>
        <v>0</v>
      </c>
      <c r="M23" s="222">
        <f>'Bieu 05'!M23+'Bieu 06'!M23+'Bieu 07'!M23+'Bieu 08'!M23</f>
        <v>116068</v>
      </c>
      <c r="N23" s="467">
        <f>'Bieu 05'!N23+'Bieu 06'!N23+'Bieu 07'!N23+'Bieu 08'!N23</f>
        <v>15952897</v>
      </c>
      <c r="O23" s="222">
        <f>'Bieu 05'!O23+'Bieu 06'!O23+'Bieu 07'!O23+'Bieu 08'!O23</f>
        <v>0</v>
      </c>
      <c r="P23" s="222">
        <f>'Bieu 05'!P23+'Bieu 06'!P23+'Bieu 07'!P23+'Bieu 08'!P23</f>
        <v>298933</v>
      </c>
      <c r="Q23" s="222">
        <f>'Bieu 05'!Q23+'Bieu 06'!Q23+'Bieu 07'!Q23+'Bieu 08'!Q23</f>
        <v>16251830</v>
      </c>
      <c r="R23" s="476">
        <f t="shared" si="0"/>
        <v>0</v>
      </c>
      <c r="S23" s="476">
        <f t="shared" si="1"/>
        <v>0</v>
      </c>
      <c r="T23" s="476">
        <f t="shared" si="2"/>
        <v>0</v>
      </c>
      <c r="U23" s="476">
        <f t="shared" si="3"/>
        <v>0</v>
      </c>
      <c r="V23" s="476">
        <f t="shared" si="4"/>
        <v>0</v>
      </c>
    </row>
    <row r="24" spans="1:22" ht="12.75" customHeight="1">
      <c r="A24" s="43">
        <f>A23+1</f>
        <v>16</v>
      </c>
      <c r="B24" s="209" t="s">
        <v>81</v>
      </c>
      <c r="C24" s="238">
        <f>'Bieu 05'!C24+'Bieu 06'!C24+'Bieu 07'!C24+'Bieu 08'!C24</f>
        <v>12952414</v>
      </c>
      <c r="D24" s="238">
        <f>'Bieu 05'!D24+'Bieu 06'!D24+'Bieu 07'!D24+'Bieu 08'!D24</f>
        <v>0</v>
      </c>
      <c r="E24" s="238">
        <f>'Bieu 05'!E24+'Bieu 06'!E24+'Bieu 07'!E24+'Bieu 08'!E24</f>
        <v>0</v>
      </c>
      <c r="F24" s="238">
        <f>'Bieu 05'!F24+'Bieu 06'!F24+'Bieu 07'!F24+'Bieu 08'!F24</f>
        <v>0</v>
      </c>
      <c r="G24" s="238">
        <f>'Bieu 05'!G24+'Bieu 06'!G24+'Bieu 07'!G24+'Bieu 08'!G24</f>
        <v>0</v>
      </c>
      <c r="H24" s="238">
        <f>'Bieu 05'!H24+'Bieu 06'!H24+'Bieu 07'!H24+'Bieu 08'!H24</f>
        <v>0</v>
      </c>
      <c r="I24" s="238">
        <f>'Bieu 05'!I24+'Bieu 06'!I24+'Bieu 07'!I24+'Bieu 08'!I24</f>
        <v>12952414</v>
      </c>
      <c r="J24" s="238">
        <f>'Bieu 05'!J24+'Bieu 06'!J24+'Bieu 07'!J24+'Bieu 08'!J24</f>
        <v>8301624</v>
      </c>
      <c r="K24" s="238">
        <f>'Bieu 05'!K24+'Bieu 06'!K24+'Bieu 07'!K24+'Bieu 08'!K24</f>
        <v>4650790</v>
      </c>
      <c r="L24" s="238">
        <f>'Bieu 05'!L24+'Bieu 06'!L24+'Bieu 07'!L24+'Bieu 08'!L24</f>
        <v>0</v>
      </c>
      <c r="M24" s="238">
        <f>'Bieu 05'!M24+'Bieu 06'!M24+'Bieu 07'!M24+'Bieu 08'!M24</f>
        <v>93086</v>
      </c>
      <c r="N24" s="238">
        <f>'Bieu 05'!N24+'Bieu 06'!N24+'Bieu 07'!N24+'Bieu 08'!N24</f>
        <v>13045500</v>
      </c>
      <c r="O24" s="238">
        <f>'Bieu 05'!O24+'Bieu 06'!O24+'Bieu 07'!O24+'Bieu 08'!O24</f>
        <v>0</v>
      </c>
      <c r="P24" s="238">
        <f>'Bieu 05'!P24+'Bieu 06'!P24+'Bieu 07'!P24+'Bieu 08'!P24</f>
        <v>0</v>
      </c>
      <c r="Q24" s="477">
        <f>'Bieu 05'!Q24+'Bieu 06'!Q24+'Bieu 07'!Q24+'Bieu 08'!Q24</f>
        <v>13045500</v>
      </c>
      <c r="R24" s="476">
        <f t="shared" si="0"/>
        <v>0</v>
      </c>
      <c r="S24" s="476">
        <f t="shared" si="1"/>
        <v>0</v>
      </c>
      <c r="T24" s="476">
        <f t="shared" si="2"/>
        <v>0</v>
      </c>
      <c r="U24" s="476">
        <f t="shared" si="3"/>
        <v>0</v>
      </c>
      <c r="V24" s="476">
        <f t="shared" si="4"/>
        <v>0</v>
      </c>
    </row>
    <row r="25" spans="1:22" s="219" customFormat="1" ht="12.75" customHeight="1">
      <c r="A25" s="213" t="s">
        <v>113</v>
      </c>
      <c r="B25" s="214" t="s">
        <v>64</v>
      </c>
      <c r="C25" s="215">
        <f>'Bieu 05'!C25+'Bieu 06'!C25+'Bieu 07'!C25+'Bieu 08'!C25</f>
        <v>178399764</v>
      </c>
      <c r="D25" s="215">
        <f>'Bieu 05'!D25+'Bieu 06'!D25+'Bieu 07'!D25+'Bieu 08'!D25</f>
        <v>70921187</v>
      </c>
      <c r="E25" s="215">
        <f>'Bieu 05'!E25+'Bieu 06'!E25+'Bieu 07'!E25+'Bieu 08'!E25</f>
        <v>68836738</v>
      </c>
      <c r="F25" s="215">
        <f>'Bieu 05'!F25+'Bieu 06'!F25+'Bieu 07'!F25+'Bieu 08'!F25</f>
        <v>2049374</v>
      </c>
      <c r="G25" s="215">
        <f>'Bieu 05'!G25+'Bieu 06'!G25+'Bieu 07'!G25+'Bieu 08'!G25</f>
        <v>0</v>
      </c>
      <c r="H25" s="215">
        <f>'Bieu 05'!H25+'Bieu 06'!H25+'Bieu 07'!H25+'Bieu 08'!H25</f>
        <v>35075</v>
      </c>
      <c r="I25" s="215">
        <f>'Bieu 05'!I25+'Bieu 06'!I25+'Bieu 07'!I25+'Bieu 08'!I25</f>
        <v>107478577</v>
      </c>
      <c r="J25" s="215">
        <f>'Bieu 05'!J25+'Bieu 06'!J25+'Bieu 07'!J25+'Bieu 08'!J25</f>
        <v>105716766</v>
      </c>
      <c r="K25" s="215">
        <f>'Bieu 05'!K25+'Bieu 06'!K25+'Bieu 07'!K25+'Bieu 08'!K25</f>
        <v>1761811</v>
      </c>
      <c r="L25" s="215">
        <f>'Bieu 05'!L25+'Bieu 06'!L25+'Bieu 07'!L25+'Bieu 08'!L25</f>
        <v>0</v>
      </c>
      <c r="M25" s="215">
        <f>'Bieu 05'!M25+'Bieu 06'!M25+'Bieu 07'!M25+'Bieu 08'!M25</f>
        <v>5979120</v>
      </c>
      <c r="N25" s="215">
        <f>'Bieu 05'!N25+'Bieu 06'!N25+'Bieu 07'!N25+'Bieu 08'!N25</f>
        <v>184378884</v>
      </c>
      <c r="O25" s="215">
        <f>'Bieu 05'!O25+'Bieu 06'!O25+'Bieu 07'!O25+'Bieu 08'!O25</f>
        <v>2745200</v>
      </c>
      <c r="P25" s="215">
        <f>'Bieu 05'!P25+'Bieu 06'!P25+'Bieu 07'!P25+'Bieu 08'!P25</f>
        <v>8065173</v>
      </c>
      <c r="Q25" s="215">
        <f>'Bieu 05'!Q25+'Bieu 06'!Q25+'Bieu 07'!Q25+'Bieu 08'!Q25</f>
        <v>195189257</v>
      </c>
      <c r="R25" s="478">
        <f t="shared" si="0"/>
        <v>0</v>
      </c>
      <c r="S25" s="478">
        <f t="shared" si="1"/>
        <v>0</v>
      </c>
      <c r="T25" s="478">
        <f t="shared" si="2"/>
        <v>0</v>
      </c>
      <c r="U25" s="478">
        <f t="shared" si="3"/>
        <v>0</v>
      </c>
      <c r="V25" s="478">
        <f t="shared" si="4"/>
        <v>0</v>
      </c>
    </row>
    <row r="26" spans="1:22" ht="12.75" customHeight="1">
      <c r="A26" s="220">
        <v>17</v>
      </c>
      <c r="B26" s="221" t="s">
        <v>114</v>
      </c>
      <c r="C26" s="222">
        <f>'Bieu 05'!C26+'Bieu 06'!C26+'Bieu 07'!C26+'Bieu 08'!C26</f>
        <v>115516270</v>
      </c>
      <c r="D26" s="222">
        <f>'Bieu 05'!D26+'Bieu 06'!D26+'Bieu 07'!D26+'Bieu 08'!D26</f>
        <v>13446000</v>
      </c>
      <c r="E26" s="222">
        <f>'Bieu 05'!E26+'Bieu 06'!E26+'Bieu 07'!E26+'Bieu 08'!E26</f>
        <v>13446000</v>
      </c>
      <c r="F26" s="222">
        <f>'Bieu 05'!F26+'Bieu 06'!F26+'Bieu 07'!F26+'Bieu 08'!F26</f>
        <v>0</v>
      </c>
      <c r="G26" s="222">
        <f>'Bieu 05'!G26+'Bieu 06'!G26+'Bieu 07'!G26+'Bieu 08'!G26</f>
        <v>0</v>
      </c>
      <c r="H26" s="222">
        <f>'Bieu 05'!H26+'Bieu 06'!H26+'Bieu 07'!H26+'Bieu 08'!H26</f>
        <v>0</v>
      </c>
      <c r="I26" s="222">
        <f>'Bieu 05'!I26+'Bieu 06'!I26+'Bieu 07'!I26+'Bieu 08'!I26</f>
        <v>102070270</v>
      </c>
      <c r="J26" s="222">
        <f>'Bieu 05'!J26+'Bieu 06'!J26+'Bieu 07'!J26+'Bieu 08'!J26</f>
        <v>101608996</v>
      </c>
      <c r="K26" s="222">
        <f>'Bieu 05'!K26+'Bieu 06'!K26+'Bieu 07'!K26+'Bieu 08'!K26</f>
        <v>461274</v>
      </c>
      <c r="L26" s="222">
        <f>'Bieu 05'!L26+'Bieu 06'!L26+'Bieu 07'!L26+'Bieu 08'!L26</f>
        <v>0</v>
      </c>
      <c r="M26" s="222">
        <f>'Bieu 05'!M26+'Bieu 06'!M26+'Bieu 07'!M26+'Bieu 08'!M26</f>
        <v>5293107</v>
      </c>
      <c r="N26" s="467">
        <f>'Bieu 05'!N26+'Bieu 06'!N26+'Bieu 07'!N26+'Bieu 08'!N26</f>
        <v>120809377</v>
      </c>
      <c r="O26" s="222">
        <f>'Bieu 05'!O26+'Bieu 06'!O26+'Bieu 07'!O26+'Bieu 08'!O26</f>
        <v>1000000</v>
      </c>
      <c r="P26" s="222">
        <f>'Bieu 05'!P26+'Bieu 06'!P26+'Bieu 07'!P26+'Bieu 08'!P26</f>
        <v>8065173</v>
      </c>
      <c r="Q26" s="222">
        <f>'Bieu 05'!Q26+'Bieu 06'!Q26+'Bieu 07'!Q26+'Bieu 08'!Q26</f>
        <v>129874550</v>
      </c>
      <c r="R26" s="476">
        <f t="shared" si="0"/>
        <v>0</v>
      </c>
      <c r="S26" s="476">
        <f t="shared" si="1"/>
        <v>0</v>
      </c>
      <c r="T26" s="476">
        <f t="shared" si="2"/>
        <v>0</v>
      </c>
      <c r="U26" s="476">
        <f t="shared" si="3"/>
        <v>0</v>
      </c>
      <c r="V26" s="476">
        <f t="shared" si="4"/>
        <v>0</v>
      </c>
    </row>
    <row r="27" spans="1:22" ht="12.75" customHeight="1">
      <c r="A27" s="43">
        <f aca="true" t="shared" si="6" ref="A27:A32">A26+1</f>
        <v>18</v>
      </c>
      <c r="B27" s="44" t="s">
        <v>115</v>
      </c>
      <c r="C27" s="222">
        <f>'Bieu 05'!C27+'Bieu 06'!C27+'Bieu 07'!C27+'Bieu 08'!C27</f>
        <v>1985208</v>
      </c>
      <c r="D27" s="222">
        <f>'Bieu 05'!D27+'Bieu 06'!D27+'Bieu 07'!D27+'Bieu 08'!D27</f>
        <v>0</v>
      </c>
      <c r="E27" s="222">
        <f>'Bieu 05'!E27+'Bieu 06'!E27+'Bieu 07'!E27+'Bieu 08'!E27</f>
        <v>0</v>
      </c>
      <c r="F27" s="222">
        <f>'Bieu 05'!F27+'Bieu 06'!F27+'Bieu 07'!F27+'Bieu 08'!F27</f>
        <v>0</v>
      </c>
      <c r="G27" s="222">
        <f>'Bieu 05'!G27+'Bieu 06'!G27+'Bieu 07'!G27+'Bieu 08'!G27</f>
        <v>0</v>
      </c>
      <c r="H27" s="222">
        <f>'Bieu 05'!H27+'Bieu 06'!H27+'Bieu 07'!H27+'Bieu 08'!H27</f>
        <v>0</v>
      </c>
      <c r="I27" s="222">
        <f>'Bieu 05'!I27+'Bieu 06'!I27+'Bieu 07'!I27+'Bieu 08'!I27</f>
        <v>1985208</v>
      </c>
      <c r="J27" s="222">
        <f>'Bieu 05'!J27+'Bieu 06'!J27+'Bieu 07'!J27+'Bieu 08'!J27</f>
        <v>1985208</v>
      </c>
      <c r="K27" s="222">
        <f>'Bieu 05'!K27+'Bieu 06'!K27+'Bieu 07'!K27+'Bieu 08'!K27</f>
        <v>0</v>
      </c>
      <c r="L27" s="222">
        <f>'Bieu 05'!L27+'Bieu 06'!L27+'Bieu 07'!L27+'Bieu 08'!L27</f>
        <v>0</v>
      </c>
      <c r="M27" s="222">
        <f>'Bieu 05'!M27+'Bieu 06'!M27+'Bieu 07'!M27+'Bieu 08'!M27</f>
        <v>0</v>
      </c>
      <c r="N27" s="222">
        <f>'Bieu 05'!N27+'Bieu 06'!N27+'Bieu 07'!N27+'Bieu 08'!N27</f>
        <v>1985208</v>
      </c>
      <c r="O27" s="467">
        <f>'Bieu 05'!O27+'Bieu 06'!O27+'Bieu 07'!O27+'Bieu 08'!O27</f>
        <v>1595200</v>
      </c>
      <c r="P27" s="222">
        <f>'Bieu 05'!P27+'Bieu 06'!P27+'Bieu 07'!P27+'Bieu 08'!P27</f>
        <v>0</v>
      </c>
      <c r="Q27" s="467">
        <f>'Bieu 05'!Q27+'Bieu 06'!Q27+'Bieu 07'!Q27+'Bieu 08'!Q27</f>
        <v>3580408</v>
      </c>
      <c r="R27" s="476">
        <f t="shared" si="0"/>
        <v>0</v>
      </c>
      <c r="S27" s="476">
        <f t="shared" si="1"/>
        <v>0</v>
      </c>
      <c r="T27" s="476">
        <f t="shared" si="2"/>
        <v>0</v>
      </c>
      <c r="U27" s="476">
        <f t="shared" si="3"/>
        <v>0</v>
      </c>
      <c r="V27" s="476">
        <f t="shared" si="4"/>
        <v>0</v>
      </c>
    </row>
    <row r="28" spans="1:22" ht="12" customHeight="1">
      <c r="A28" s="43">
        <f t="shared" si="6"/>
        <v>19</v>
      </c>
      <c r="B28" s="44" t="s">
        <v>116</v>
      </c>
      <c r="C28" s="222">
        <f>'Bieu 05'!C28+'Bieu 06'!C28+'Bieu 07'!C28+'Bieu 08'!C28</f>
        <v>51000</v>
      </c>
      <c r="D28" s="222">
        <f>'Bieu 05'!D28+'Bieu 06'!D28+'Bieu 07'!D28+'Bieu 08'!D28</f>
        <v>51000</v>
      </c>
      <c r="E28" s="222">
        <f>'Bieu 05'!E28+'Bieu 06'!E28+'Bieu 07'!E28+'Bieu 08'!E28</f>
        <v>51000</v>
      </c>
      <c r="F28" s="222">
        <f>'Bieu 05'!F28+'Bieu 06'!F28+'Bieu 07'!F28+'Bieu 08'!F28</f>
        <v>0</v>
      </c>
      <c r="G28" s="222">
        <f>'Bieu 05'!G28+'Bieu 06'!G28+'Bieu 07'!G28+'Bieu 08'!G28</f>
        <v>0</v>
      </c>
      <c r="H28" s="222">
        <f>'Bieu 05'!H28+'Bieu 06'!H28+'Bieu 07'!H28+'Bieu 08'!H28</f>
        <v>0</v>
      </c>
      <c r="I28" s="222">
        <f>'Bieu 05'!I28+'Bieu 06'!I28+'Bieu 07'!I28+'Bieu 08'!I28</f>
        <v>0</v>
      </c>
      <c r="J28" s="222">
        <f>'Bieu 05'!J28+'Bieu 06'!J28+'Bieu 07'!J28+'Bieu 08'!J28</f>
        <v>0</v>
      </c>
      <c r="K28" s="222">
        <f>'Bieu 05'!K28+'Bieu 06'!K28+'Bieu 07'!K28+'Bieu 08'!K28</f>
        <v>0</v>
      </c>
      <c r="L28" s="222">
        <f>'Bieu 05'!L28+'Bieu 06'!L28+'Bieu 07'!L28+'Bieu 08'!L28</f>
        <v>0</v>
      </c>
      <c r="M28" s="222">
        <f>'Bieu 05'!M28+'Bieu 06'!M28+'Bieu 07'!M28+'Bieu 08'!M28</f>
        <v>0</v>
      </c>
      <c r="N28" s="222">
        <f>'Bieu 05'!N28+'Bieu 06'!N28+'Bieu 07'!N28+'Bieu 08'!N28</f>
        <v>51000</v>
      </c>
      <c r="O28" s="467">
        <f>'Bieu 05'!O28+'Bieu 06'!O28+'Bieu 07'!O28+'Bieu 08'!O28</f>
        <v>0</v>
      </c>
      <c r="P28" s="222">
        <f>'Bieu 05'!P28+'Bieu 06'!P28+'Bieu 07'!P28+'Bieu 08'!P28</f>
        <v>0</v>
      </c>
      <c r="Q28" s="222">
        <f>'Bieu 05'!Q28+'Bieu 06'!Q28+'Bieu 07'!Q28+'Bieu 08'!Q28</f>
        <v>51000</v>
      </c>
      <c r="R28" s="476">
        <f t="shared" si="0"/>
        <v>0</v>
      </c>
      <c r="S28" s="476">
        <f t="shared" si="1"/>
        <v>0</v>
      </c>
      <c r="T28" s="476">
        <f t="shared" si="2"/>
        <v>0</v>
      </c>
      <c r="U28" s="476">
        <f t="shared" si="3"/>
        <v>0</v>
      </c>
      <c r="V28" s="476">
        <f t="shared" si="4"/>
        <v>0</v>
      </c>
    </row>
    <row r="29" spans="1:22" ht="12.75" customHeight="1">
      <c r="A29" s="220">
        <f t="shared" si="6"/>
        <v>20</v>
      </c>
      <c r="B29" s="44" t="s">
        <v>84</v>
      </c>
      <c r="C29" s="222">
        <f>'Bieu 05'!C29+'Bieu 06'!C29+'Bieu 07'!C29+'Bieu 08'!C29</f>
        <v>3795242</v>
      </c>
      <c r="D29" s="222">
        <f>'Bieu 05'!D29+'Bieu 06'!D29+'Bieu 07'!D29+'Bieu 08'!D29</f>
        <v>3795242</v>
      </c>
      <c r="E29" s="222">
        <f>'Bieu 05'!E29+'Bieu 06'!E29+'Bieu 07'!E29+'Bieu 08'!E29</f>
        <v>3795000</v>
      </c>
      <c r="F29" s="222">
        <f>'Bieu 05'!F29+'Bieu 06'!F29+'Bieu 07'!F29+'Bieu 08'!F29</f>
        <v>0</v>
      </c>
      <c r="G29" s="222">
        <f>'Bieu 05'!G29+'Bieu 06'!G29+'Bieu 07'!G29+'Bieu 08'!G29</f>
        <v>0</v>
      </c>
      <c r="H29" s="222">
        <f>'Bieu 05'!H29+'Bieu 06'!H29+'Bieu 07'!H29+'Bieu 08'!H29</f>
        <v>242</v>
      </c>
      <c r="I29" s="222">
        <f>'Bieu 05'!I29+'Bieu 06'!I29+'Bieu 07'!I29+'Bieu 08'!I29</f>
        <v>0</v>
      </c>
      <c r="J29" s="222">
        <f>'Bieu 05'!J29+'Bieu 06'!J29+'Bieu 07'!J29+'Bieu 08'!J29</f>
        <v>0</v>
      </c>
      <c r="K29" s="222">
        <f>'Bieu 05'!K29+'Bieu 06'!K29+'Bieu 07'!K29+'Bieu 08'!K29</f>
        <v>0</v>
      </c>
      <c r="L29" s="222">
        <f>'Bieu 05'!L29+'Bieu 06'!L29+'Bieu 07'!L29+'Bieu 08'!L29</f>
        <v>0</v>
      </c>
      <c r="M29" s="222">
        <f>'Bieu 05'!M29+'Bieu 06'!M29+'Bieu 07'!M29+'Bieu 08'!M29</f>
        <v>0</v>
      </c>
      <c r="N29" s="222">
        <f>'Bieu 05'!N29+'Bieu 06'!N29+'Bieu 07'!N29+'Bieu 08'!N29</f>
        <v>3795242</v>
      </c>
      <c r="O29" s="467">
        <f>'Bieu 05'!O29+'Bieu 06'!O29+'Bieu 07'!O29+'Bieu 08'!O29</f>
        <v>0</v>
      </c>
      <c r="P29" s="222">
        <f>'Bieu 05'!P29+'Bieu 06'!P29+'Bieu 07'!P29+'Bieu 08'!P29</f>
        <v>0</v>
      </c>
      <c r="Q29" s="467">
        <f>'Bieu 05'!Q29+'Bieu 06'!Q29+'Bieu 07'!Q29+'Bieu 08'!Q29</f>
        <v>3795242</v>
      </c>
      <c r="R29" s="476">
        <f t="shared" si="0"/>
        <v>0</v>
      </c>
      <c r="S29" s="476">
        <f t="shared" si="1"/>
        <v>0</v>
      </c>
      <c r="T29" s="476">
        <f t="shared" si="2"/>
        <v>0</v>
      </c>
      <c r="U29" s="476">
        <f t="shared" si="3"/>
        <v>0</v>
      </c>
      <c r="V29" s="476">
        <f t="shared" si="4"/>
        <v>0</v>
      </c>
    </row>
    <row r="30" spans="1:22" ht="12.75" customHeight="1">
      <c r="A30" s="43">
        <f t="shared" si="6"/>
        <v>21</v>
      </c>
      <c r="B30" s="44" t="s">
        <v>83</v>
      </c>
      <c r="C30" s="222">
        <f>'Bieu 05'!C30+'Bieu 06'!C30+'Bieu 07'!C30+'Bieu 08'!C30</f>
        <v>11510550</v>
      </c>
      <c r="D30" s="222">
        <f>'Bieu 05'!D30+'Bieu 06'!D30+'Bieu 07'!D30+'Bieu 08'!D30</f>
        <v>10628945</v>
      </c>
      <c r="E30" s="222">
        <f>'Bieu 05'!E30+'Bieu 06'!E30+'Bieu 07'!E30+'Bieu 08'!E30</f>
        <v>10627000</v>
      </c>
      <c r="F30" s="222">
        <f>'Bieu 05'!F30+'Bieu 06'!F30+'Bieu 07'!F30+'Bieu 08'!F30</f>
        <v>0</v>
      </c>
      <c r="G30" s="222">
        <f>'Bieu 05'!G30+'Bieu 06'!G30+'Bieu 07'!G30+'Bieu 08'!G30</f>
        <v>0</v>
      </c>
      <c r="H30" s="222">
        <f>'Bieu 05'!H30+'Bieu 06'!H30+'Bieu 07'!H30+'Bieu 08'!H30</f>
        <v>1945</v>
      </c>
      <c r="I30" s="222">
        <f>'Bieu 05'!I30+'Bieu 06'!I30+'Bieu 07'!I30+'Bieu 08'!I30</f>
        <v>881605</v>
      </c>
      <c r="J30" s="222">
        <f>'Bieu 05'!J30+'Bieu 06'!J30+'Bieu 07'!J30+'Bieu 08'!J30</f>
        <v>0</v>
      </c>
      <c r="K30" s="222">
        <f>'Bieu 05'!K30+'Bieu 06'!K30+'Bieu 07'!K30+'Bieu 08'!K30</f>
        <v>881605</v>
      </c>
      <c r="L30" s="222">
        <f>'Bieu 05'!L30+'Bieu 06'!L30+'Bieu 07'!L30+'Bieu 08'!L30</f>
        <v>0</v>
      </c>
      <c r="M30" s="222">
        <f>'Bieu 05'!M30+'Bieu 06'!M30+'Bieu 07'!M30+'Bieu 08'!M30</f>
        <v>74133</v>
      </c>
      <c r="N30" s="222">
        <f>'Bieu 05'!N30+'Bieu 06'!N30+'Bieu 07'!N30+'Bieu 08'!N30</f>
        <v>11584683</v>
      </c>
      <c r="O30" s="467">
        <f>'Bieu 05'!O30+'Bieu 06'!O30+'Bieu 07'!O30+'Bieu 08'!O30</f>
        <v>150000</v>
      </c>
      <c r="P30" s="222">
        <f>'Bieu 05'!P30+'Bieu 06'!P30+'Bieu 07'!P30+'Bieu 08'!P30</f>
        <v>0</v>
      </c>
      <c r="Q30" s="467">
        <f>'Bieu 05'!Q30+'Bieu 06'!Q30+'Bieu 07'!Q30+'Bieu 08'!Q30</f>
        <v>11734683</v>
      </c>
      <c r="R30" s="476">
        <f t="shared" si="0"/>
        <v>0</v>
      </c>
      <c r="S30" s="476">
        <f t="shared" si="1"/>
        <v>0</v>
      </c>
      <c r="T30" s="476">
        <f t="shared" si="2"/>
        <v>0</v>
      </c>
      <c r="U30" s="476">
        <f t="shared" si="3"/>
        <v>0</v>
      </c>
      <c r="V30" s="476">
        <f t="shared" si="4"/>
        <v>0</v>
      </c>
    </row>
    <row r="31" spans="1:22" ht="12.75" customHeight="1">
      <c r="A31" s="220">
        <f t="shared" si="6"/>
        <v>22</v>
      </c>
      <c r="B31" s="44" t="s">
        <v>85</v>
      </c>
      <c r="C31" s="222">
        <f>'Bieu 05'!C31+'Bieu 06'!C31+'Bieu 07'!C31+'Bieu 08'!C31</f>
        <v>43796724</v>
      </c>
      <c r="D31" s="222">
        <f>'Bieu 05'!D31+'Bieu 06'!D31+'Bieu 07'!D31+'Bieu 08'!D31</f>
        <v>43000000</v>
      </c>
      <c r="E31" s="222">
        <f>'Bieu 05'!E31+'Bieu 06'!E31+'Bieu 07'!E31+'Bieu 08'!E31</f>
        <v>40917738</v>
      </c>
      <c r="F31" s="222">
        <f>'Bieu 05'!F31+'Bieu 06'!F31+'Bieu 07'!F31+'Bieu 08'!F31</f>
        <v>2049374</v>
      </c>
      <c r="G31" s="222">
        <f>'Bieu 05'!G31+'Bieu 06'!G31+'Bieu 07'!G31+'Bieu 08'!G31</f>
        <v>0</v>
      </c>
      <c r="H31" s="222">
        <f>'Bieu 05'!H31+'Bieu 06'!H31+'Bieu 07'!H31+'Bieu 08'!H31</f>
        <v>32888</v>
      </c>
      <c r="I31" s="222">
        <f>'Bieu 05'!I31+'Bieu 06'!I31+'Bieu 07'!I31+'Bieu 08'!I31</f>
        <v>796724</v>
      </c>
      <c r="J31" s="222">
        <f>'Bieu 05'!J31+'Bieu 06'!J31+'Bieu 07'!J31+'Bieu 08'!J31</f>
        <v>796724</v>
      </c>
      <c r="K31" s="222">
        <f>'Bieu 05'!K31+'Bieu 06'!K31+'Bieu 07'!K31+'Bieu 08'!K31</f>
        <v>0</v>
      </c>
      <c r="L31" s="222">
        <f>'Bieu 05'!L31+'Bieu 06'!L31+'Bieu 07'!L31+'Bieu 08'!L31</f>
        <v>0</v>
      </c>
      <c r="M31" s="222">
        <f>'Bieu 05'!M31+'Bieu 06'!M31+'Bieu 07'!M31+'Bieu 08'!M31</f>
        <v>611880</v>
      </c>
      <c r="N31" s="222">
        <f>'Bieu 05'!N31+'Bieu 06'!N31+'Bieu 07'!N31+'Bieu 08'!N31</f>
        <v>44408604</v>
      </c>
      <c r="O31" s="222">
        <f>'Bieu 05'!O31+'Bieu 06'!O31+'Bieu 07'!O31+'Bieu 08'!O31</f>
        <v>0</v>
      </c>
      <c r="P31" s="222">
        <f>'Bieu 05'!P31+'Bieu 06'!P31+'Bieu 07'!P31+'Bieu 08'!P31</f>
        <v>0</v>
      </c>
      <c r="Q31" s="467">
        <f>'Bieu 05'!Q31+'Bieu 06'!Q31+'Bieu 07'!Q31+'Bieu 08'!Q31</f>
        <v>44408604</v>
      </c>
      <c r="R31" s="476">
        <f t="shared" si="0"/>
        <v>0</v>
      </c>
      <c r="S31" s="476">
        <f>I31-J31-K31-L31</f>
        <v>0</v>
      </c>
      <c r="T31" s="476">
        <f t="shared" si="2"/>
        <v>0</v>
      </c>
      <c r="U31" s="476">
        <f t="shared" si="3"/>
        <v>0</v>
      </c>
      <c r="V31" s="476">
        <f t="shared" si="4"/>
        <v>0</v>
      </c>
    </row>
    <row r="32" spans="1:22" ht="12.75" customHeight="1">
      <c r="A32" s="43">
        <f t="shared" si="6"/>
        <v>23</v>
      </c>
      <c r="B32" s="209" t="s">
        <v>86</v>
      </c>
      <c r="C32" s="238">
        <f>'Bieu 05'!C32+'Bieu 06'!C32+'Bieu 07'!C32+'Bieu 08'!C32</f>
        <v>1744770</v>
      </c>
      <c r="D32" s="238">
        <f>'Bieu 05'!D32+'Bieu 06'!D32+'Bieu 07'!D32+'Bieu 08'!D32</f>
        <v>0</v>
      </c>
      <c r="E32" s="238">
        <f>'Bieu 05'!E32+'Bieu 06'!E32+'Bieu 07'!E32+'Bieu 08'!E32</f>
        <v>0</v>
      </c>
      <c r="F32" s="238">
        <f>'Bieu 05'!F32+'Bieu 06'!F32+'Bieu 07'!F32+'Bieu 08'!F32</f>
        <v>0</v>
      </c>
      <c r="G32" s="238">
        <f>'Bieu 05'!G32+'Bieu 06'!G32+'Bieu 07'!G32+'Bieu 08'!G32</f>
        <v>0</v>
      </c>
      <c r="H32" s="238">
        <f>'Bieu 05'!H32+'Bieu 06'!H32+'Bieu 07'!H32+'Bieu 08'!H32</f>
        <v>0</v>
      </c>
      <c r="I32" s="238">
        <f>'Bieu 05'!I32+'Bieu 06'!I32+'Bieu 07'!I32+'Bieu 08'!I32</f>
        <v>1744770</v>
      </c>
      <c r="J32" s="238">
        <f>'Bieu 05'!J32+'Bieu 06'!J32+'Bieu 07'!J32+'Bieu 08'!J32</f>
        <v>1325838</v>
      </c>
      <c r="K32" s="238">
        <f>'Bieu 05'!K32+'Bieu 06'!K32+'Bieu 07'!K32+'Bieu 08'!K32</f>
        <v>418932</v>
      </c>
      <c r="L32" s="238">
        <f>'Bieu 05'!L32+'Bieu 06'!L32+'Bieu 07'!L32+'Bieu 08'!L32</f>
        <v>0</v>
      </c>
      <c r="M32" s="238">
        <f>'Bieu 05'!M32+'Bieu 06'!M32+'Bieu 07'!M32+'Bieu 08'!M32</f>
        <v>0</v>
      </c>
      <c r="N32" s="238">
        <f>'Bieu 05'!N32+'Bieu 06'!N32+'Bieu 07'!N32+'Bieu 08'!N32</f>
        <v>1744770</v>
      </c>
      <c r="O32" s="238">
        <f>'Bieu 05'!O32+'Bieu 06'!O32+'Bieu 07'!O32+'Bieu 08'!O32</f>
        <v>0</v>
      </c>
      <c r="P32" s="238">
        <f>'Bieu 05'!P32+'Bieu 06'!P32+'Bieu 07'!P32+'Bieu 08'!P32</f>
        <v>0</v>
      </c>
      <c r="Q32" s="477">
        <f>'Bieu 05'!Q32+'Bieu 06'!Q32+'Bieu 07'!Q32+'Bieu 08'!Q32</f>
        <v>1744770</v>
      </c>
      <c r="R32" s="476">
        <f t="shared" si="0"/>
        <v>0</v>
      </c>
      <c r="S32" s="476">
        <f t="shared" si="1"/>
        <v>0</v>
      </c>
      <c r="T32" s="476">
        <f t="shared" si="2"/>
        <v>0</v>
      </c>
      <c r="U32" s="476">
        <f t="shared" si="3"/>
        <v>0</v>
      </c>
      <c r="V32" s="476">
        <f t="shared" si="4"/>
        <v>0</v>
      </c>
    </row>
    <row r="33" spans="1:22" s="219" customFormat="1" ht="12.75" customHeight="1">
      <c r="A33" s="213" t="s">
        <v>117</v>
      </c>
      <c r="B33" s="214" t="s">
        <v>65</v>
      </c>
      <c r="C33" s="215">
        <f>'Bieu 05'!C33+'Bieu 06'!C33+'Bieu 07'!C33+'Bieu 08'!C33</f>
        <v>1304639684</v>
      </c>
      <c r="D33" s="215">
        <f>'Bieu 05'!D33+'Bieu 06'!D33+'Bieu 07'!D33+'Bieu 08'!D33</f>
        <v>976330239</v>
      </c>
      <c r="E33" s="215">
        <f>'Bieu 05'!E33+'Bieu 06'!E33+'Bieu 07'!E33+'Bieu 08'!E33</f>
        <v>948161505</v>
      </c>
      <c r="F33" s="215">
        <f>'Bieu 05'!F33+'Bieu 06'!F33+'Bieu 07'!F33+'Bieu 08'!F33</f>
        <v>26963836</v>
      </c>
      <c r="G33" s="215">
        <f>'Bieu 05'!G33+'Bieu 06'!G33+'Bieu 07'!G33+'Bieu 08'!G33</f>
        <v>0</v>
      </c>
      <c r="H33" s="215">
        <f>'Bieu 05'!H33+'Bieu 06'!H33+'Bieu 07'!H33+'Bieu 08'!H33</f>
        <v>1204898</v>
      </c>
      <c r="I33" s="215">
        <f>'Bieu 05'!I33+'Bieu 06'!I33+'Bieu 07'!I33+'Bieu 08'!I33</f>
        <v>328309445</v>
      </c>
      <c r="J33" s="215">
        <f>'Bieu 05'!J33+'Bieu 06'!J33+'Bieu 07'!J33+'Bieu 08'!J33</f>
        <v>322529611</v>
      </c>
      <c r="K33" s="215">
        <f>'Bieu 05'!K33+'Bieu 06'!K33+'Bieu 07'!K33+'Bieu 08'!K33</f>
        <v>3243802</v>
      </c>
      <c r="L33" s="215">
        <f>'Bieu 05'!L33+'Bieu 06'!L33+'Bieu 07'!L33+'Bieu 08'!L33</f>
        <v>2536032</v>
      </c>
      <c r="M33" s="215">
        <f>'Bieu 05'!M33+'Bieu 06'!M33+'Bieu 07'!M33+'Bieu 08'!M33</f>
        <v>14347300</v>
      </c>
      <c r="N33" s="215">
        <f>'Bieu 05'!N33+'Bieu 06'!N33+'Bieu 07'!N33+'Bieu 08'!N33</f>
        <v>1318986984</v>
      </c>
      <c r="O33" s="215">
        <f>'Bieu 05'!O33+'Bieu 06'!O33+'Bieu 07'!O33+'Bieu 08'!O33</f>
        <v>7500000</v>
      </c>
      <c r="P33" s="215">
        <f>'Bieu 05'!P33+'Bieu 06'!P33+'Bieu 07'!P33+'Bieu 08'!P33</f>
        <v>11837580</v>
      </c>
      <c r="Q33" s="215">
        <f>'Bieu 05'!Q33+'Bieu 06'!Q33+'Bieu 07'!Q33+'Bieu 08'!Q33</f>
        <v>1338324564</v>
      </c>
      <c r="R33" s="478">
        <f t="shared" si="0"/>
        <v>0</v>
      </c>
      <c r="S33" s="478">
        <f t="shared" si="1"/>
        <v>0</v>
      </c>
      <c r="T33" s="478">
        <f t="shared" si="2"/>
        <v>0</v>
      </c>
      <c r="U33" s="478">
        <f t="shared" si="3"/>
        <v>0</v>
      </c>
      <c r="V33" s="478">
        <f t="shared" si="4"/>
        <v>0</v>
      </c>
    </row>
    <row r="34" spans="1:22" ht="12.75" customHeight="1">
      <c r="A34" s="220">
        <v>24</v>
      </c>
      <c r="B34" s="221" t="s">
        <v>87</v>
      </c>
      <c r="C34" s="222">
        <f>'Bieu 05'!C34+'Bieu 06'!C34+'Bieu 07'!C34+'Bieu 08'!C34</f>
        <v>374150434</v>
      </c>
      <c r="D34" s="222">
        <f>'Bieu 05'!D34+'Bieu 06'!D34+'Bieu 07'!D34+'Bieu 08'!D34</f>
        <v>345000000</v>
      </c>
      <c r="E34" s="222">
        <f>'Bieu 05'!E34+'Bieu 06'!E34+'Bieu 07'!E34+'Bieu 08'!E34</f>
        <v>344536742</v>
      </c>
      <c r="F34" s="222">
        <f>'Bieu 05'!F34+'Bieu 06'!F34+'Bieu 07'!F34+'Bieu 08'!F34</f>
        <v>0</v>
      </c>
      <c r="G34" s="222">
        <f>'Bieu 05'!G34+'Bieu 06'!G34+'Bieu 07'!G34+'Bieu 08'!G34</f>
        <v>0</v>
      </c>
      <c r="H34" s="222">
        <f>'Bieu 05'!H34+'Bieu 06'!H34+'Bieu 07'!H34+'Bieu 08'!H34</f>
        <v>463258</v>
      </c>
      <c r="I34" s="222">
        <f>'Bieu 05'!I34+'Bieu 06'!I34+'Bieu 07'!I34+'Bieu 08'!I34</f>
        <v>29150434</v>
      </c>
      <c r="J34" s="222">
        <f>'Bieu 05'!J34+'Bieu 06'!J34+'Bieu 07'!J34+'Bieu 08'!J34</f>
        <v>29150434</v>
      </c>
      <c r="K34" s="222">
        <f>'Bieu 05'!K34+'Bieu 06'!K34+'Bieu 07'!K34+'Bieu 08'!K34</f>
        <v>0</v>
      </c>
      <c r="L34" s="222">
        <f>'Bieu 05'!L34+'Bieu 06'!L34+'Bieu 07'!L34+'Bieu 08'!L34</f>
        <v>0</v>
      </c>
      <c r="M34" s="222">
        <f>'Bieu 05'!M34+'Bieu 06'!M34+'Bieu 07'!M34+'Bieu 08'!M34</f>
        <v>11114346</v>
      </c>
      <c r="N34" s="472">
        <f>'Bieu 05'!N34+'Bieu 06'!N34+'Bieu 07'!N34+'Bieu 08'!N34</f>
        <v>385264780</v>
      </c>
      <c r="O34" s="467">
        <f>'Bieu 05'!O34+'Bieu 06'!O34+'Bieu 07'!O34+'Bieu 08'!O34</f>
        <v>5000000</v>
      </c>
      <c r="P34" s="222">
        <f>'Bieu 05'!P34+'Bieu 06'!P34+'Bieu 07'!P34+'Bieu 08'!P34</f>
        <v>178942</v>
      </c>
      <c r="Q34" s="467">
        <f>'Bieu 05'!Q34+'Bieu 06'!Q34+'Bieu 07'!Q34+'Bieu 08'!Q34</f>
        <v>390443722</v>
      </c>
      <c r="R34" s="476">
        <f t="shared" si="0"/>
        <v>0</v>
      </c>
      <c r="S34" s="476">
        <f t="shared" si="1"/>
        <v>0</v>
      </c>
      <c r="T34" s="476">
        <f t="shared" si="2"/>
        <v>0</v>
      </c>
      <c r="U34" s="476">
        <f t="shared" si="3"/>
        <v>0</v>
      </c>
      <c r="V34" s="476">
        <f t="shared" si="4"/>
        <v>0</v>
      </c>
    </row>
    <row r="35" spans="1:22" ht="12.75" customHeight="1">
      <c r="A35" s="43">
        <f>A34+1</f>
        <v>25</v>
      </c>
      <c r="B35" s="44" t="s">
        <v>88</v>
      </c>
      <c r="C35" s="222">
        <f>'Bieu 05'!C35+'Bieu 06'!C35+'Bieu 07'!C35+'Bieu 08'!C35</f>
        <v>92292347</v>
      </c>
      <c r="D35" s="222">
        <f>'Bieu 05'!D35+'Bieu 06'!D35+'Bieu 07'!D35+'Bieu 08'!D35</f>
        <v>87000000</v>
      </c>
      <c r="E35" s="222">
        <f>'Bieu 05'!E35+'Bieu 06'!E35+'Bieu 07'!E35+'Bieu 08'!E35</f>
        <v>86868599</v>
      </c>
      <c r="F35" s="222">
        <f>'Bieu 05'!F35+'Bieu 06'!F35+'Bieu 07'!F35+'Bieu 08'!F35</f>
        <v>0</v>
      </c>
      <c r="G35" s="222">
        <f>'Bieu 05'!G35+'Bieu 06'!G35+'Bieu 07'!G35+'Bieu 08'!G35</f>
        <v>0</v>
      </c>
      <c r="H35" s="222">
        <f>'Bieu 05'!H35+'Bieu 06'!H35+'Bieu 07'!H35+'Bieu 08'!H35</f>
        <v>131401</v>
      </c>
      <c r="I35" s="222">
        <f>'Bieu 05'!I35+'Bieu 06'!I35+'Bieu 07'!I35+'Bieu 08'!I35</f>
        <v>5292347</v>
      </c>
      <c r="J35" s="222">
        <f>'Bieu 05'!J35+'Bieu 06'!J35+'Bieu 07'!J35+'Bieu 08'!J35</f>
        <v>5292347</v>
      </c>
      <c r="K35" s="222">
        <f>'Bieu 05'!K35+'Bieu 06'!K35+'Bieu 07'!K35+'Bieu 08'!K35</f>
        <v>0</v>
      </c>
      <c r="L35" s="222">
        <f>'Bieu 05'!L35+'Bieu 06'!L35+'Bieu 07'!L35+'Bieu 08'!L35</f>
        <v>0</v>
      </c>
      <c r="M35" s="222">
        <f>'Bieu 05'!M35+'Bieu 06'!M35+'Bieu 07'!M35+'Bieu 08'!M35</f>
        <v>1181250</v>
      </c>
      <c r="N35" s="467">
        <f>'Bieu 05'!N35+'Bieu 06'!N35+'Bieu 07'!N35+'Bieu 08'!N35</f>
        <v>93473597</v>
      </c>
      <c r="O35" s="222">
        <f>'Bieu 05'!O35+'Bieu 06'!O35+'Bieu 07'!O35+'Bieu 08'!O35</f>
        <v>1000000</v>
      </c>
      <c r="P35" s="222">
        <f>'Bieu 05'!P35+'Bieu 06'!P35+'Bieu 07'!P35+'Bieu 08'!P35</f>
        <v>0</v>
      </c>
      <c r="Q35" s="222">
        <f>'Bieu 05'!Q35+'Bieu 06'!Q35+'Bieu 07'!Q35+'Bieu 08'!Q35</f>
        <v>94473597</v>
      </c>
      <c r="R35" s="476">
        <f t="shared" si="0"/>
        <v>0</v>
      </c>
      <c r="S35" s="476">
        <f t="shared" si="1"/>
        <v>0</v>
      </c>
      <c r="T35" s="476">
        <f t="shared" si="2"/>
        <v>0</v>
      </c>
      <c r="U35" s="476">
        <f t="shared" si="3"/>
        <v>0</v>
      </c>
      <c r="V35" s="476">
        <f t="shared" si="4"/>
        <v>0</v>
      </c>
    </row>
    <row r="36" spans="1:22" ht="12.75" customHeight="1">
      <c r="A36" s="43">
        <f>A35+1</f>
        <v>26</v>
      </c>
      <c r="B36" s="44" t="s">
        <v>89</v>
      </c>
      <c r="C36" s="222">
        <f>'Bieu 05'!C36+'Bieu 06'!C36+'Bieu 07'!C36+'Bieu 08'!C36</f>
        <v>143688087</v>
      </c>
      <c r="D36" s="222">
        <f>'Bieu 05'!D36+'Bieu 06'!D36+'Bieu 07'!D36+'Bieu 08'!D36</f>
        <v>98019116</v>
      </c>
      <c r="E36" s="222">
        <f>'Bieu 05'!E36+'Bieu 06'!E36+'Bieu 07'!E36+'Bieu 08'!E36</f>
        <v>93178000</v>
      </c>
      <c r="F36" s="222">
        <f>'Bieu 05'!F36+'Bieu 06'!F36+'Bieu 07'!F36+'Bieu 08'!F36</f>
        <v>4722000</v>
      </c>
      <c r="G36" s="222">
        <f>'Bieu 05'!G36+'Bieu 06'!G36+'Bieu 07'!G36+'Bieu 08'!G36</f>
        <v>0</v>
      </c>
      <c r="H36" s="222">
        <f>'Bieu 05'!H36+'Bieu 06'!H36+'Bieu 07'!H36+'Bieu 08'!H36</f>
        <v>119116</v>
      </c>
      <c r="I36" s="222">
        <f>'Bieu 05'!I36+'Bieu 06'!I36+'Bieu 07'!I36+'Bieu 08'!I36</f>
        <v>45668971</v>
      </c>
      <c r="J36" s="222">
        <f>'Bieu 05'!J36+'Bieu 06'!J36+'Bieu 07'!J36+'Bieu 08'!J36</f>
        <v>45592920</v>
      </c>
      <c r="K36" s="222">
        <f>'Bieu 05'!K36+'Bieu 06'!K36+'Bieu 07'!K36+'Bieu 08'!K36</f>
        <v>76051</v>
      </c>
      <c r="L36" s="222">
        <f>'Bieu 05'!L36+'Bieu 06'!L36+'Bieu 07'!L36+'Bieu 08'!L36</f>
        <v>0</v>
      </c>
      <c r="M36" s="222">
        <f>'Bieu 05'!M36+'Bieu 06'!M36+'Bieu 07'!M36+'Bieu 08'!M36</f>
        <v>2051704</v>
      </c>
      <c r="N36" s="467">
        <f>'Bieu 05'!N36+'Bieu 06'!N36+'Bieu 07'!N36+'Bieu 08'!N36</f>
        <v>145739791</v>
      </c>
      <c r="O36" s="222">
        <f>'Bieu 05'!O36+'Bieu 06'!O36+'Bieu 07'!O36+'Bieu 08'!O36</f>
        <v>1500000</v>
      </c>
      <c r="P36" s="222">
        <f>'Bieu 05'!P36+'Bieu 06'!P36+'Bieu 07'!P36+'Bieu 08'!P36</f>
        <v>0</v>
      </c>
      <c r="Q36" s="222">
        <f>'Bieu 05'!Q36+'Bieu 06'!Q36+'Bieu 07'!Q36+'Bieu 08'!Q36</f>
        <v>147239791</v>
      </c>
      <c r="R36" s="476">
        <f t="shared" si="0"/>
        <v>0</v>
      </c>
      <c r="S36" s="476">
        <f t="shared" si="1"/>
        <v>0</v>
      </c>
      <c r="T36" s="476">
        <f t="shared" si="2"/>
        <v>0</v>
      </c>
      <c r="U36" s="476">
        <f t="shared" si="3"/>
        <v>0</v>
      </c>
      <c r="V36" s="476">
        <f t="shared" si="4"/>
        <v>0</v>
      </c>
    </row>
    <row r="37" spans="1:22" ht="12.75" customHeight="1">
      <c r="A37" s="220">
        <f>A36+1</f>
        <v>27</v>
      </c>
      <c r="B37" s="44" t="s">
        <v>90</v>
      </c>
      <c r="C37" s="222">
        <f>'Bieu 05'!C37+'Bieu 06'!C37+'Bieu 07'!C37+'Bieu 08'!C37</f>
        <v>195105069</v>
      </c>
      <c r="D37" s="222">
        <f>'Bieu 05'!D37+'Bieu 06'!D37+'Bieu 07'!D37+'Bieu 08'!D37</f>
        <v>139764375</v>
      </c>
      <c r="E37" s="222">
        <f>'Bieu 05'!E37+'Bieu 06'!E37+'Bieu 07'!E37+'Bieu 08'!E37</f>
        <v>139620000</v>
      </c>
      <c r="F37" s="222">
        <f>'Bieu 05'!F37+'Bieu 06'!F37+'Bieu 07'!F37+'Bieu 08'!F37</f>
        <v>0</v>
      </c>
      <c r="G37" s="222">
        <f>'Bieu 05'!G37+'Bieu 06'!G37+'Bieu 07'!G37+'Bieu 08'!G37</f>
        <v>0</v>
      </c>
      <c r="H37" s="222">
        <f>'Bieu 05'!H37+'Bieu 06'!H37+'Bieu 07'!H37+'Bieu 08'!H37</f>
        <v>144375</v>
      </c>
      <c r="I37" s="222">
        <f>'Bieu 05'!I37+'Bieu 06'!I37+'Bieu 07'!I37+'Bieu 08'!I37</f>
        <v>55340694</v>
      </c>
      <c r="J37" s="222">
        <f>'Bieu 05'!J37+'Bieu 06'!J37+'Bieu 07'!J37+'Bieu 08'!J37</f>
        <v>54920829</v>
      </c>
      <c r="K37" s="222">
        <f>'Bieu 05'!K37+'Bieu 06'!K37+'Bieu 07'!K37+'Bieu 08'!K37</f>
        <v>419865</v>
      </c>
      <c r="L37" s="222">
        <f>'Bieu 05'!L37+'Bieu 06'!L37+'Bieu 07'!L37+'Bieu 08'!L37</f>
        <v>0</v>
      </c>
      <c r="M37" s="222">
        <f>'Bieu 05'!M37+'Bieu 06'!M37+'Bieu 07'!M37+'Bieu 08'!M37</f>
        <v>0</v>
      </c>
      <c r="N37" s="467">
        <f>'Bieu 05'!N37+'Bieu 06'!N37+'Bieu 07'!N37+'Bieu 08'!N37</f>
        <v>195105069</v>
      </c>
      <c r="O37" s="222">
        <f>'Bieu 05'!O37+'Bieu 06'!O37+'Bieu 07'!O37+'Bieu 08'!O37</f>
        <v>0</v>
      </c>
      <c r="P37" s="222">
        <f>'Bieu 05'!P37+'Bieu 06'!P37+'Bieu 07'!P37+'Bieu 08'!P37</f>
        <v>0</v>
      </c>
      <c r="Q37" s="222">
        <f>'Bieu 05'!Q37+'Bieu 06'!Q37+'Bieu 07'!Q37+'Bieu 08'!Q37</f>
        <v>195105069</v>
      </c>
      <c r="R37" s="476">
        <f t="shared" si="0"/>
        <v>0</v>
      </c>
      <c r="S37" s="476">
        <f t="shared" si="1"/>
        <v>0</v>
      </c>
      <c r="T37" s="476">
        <f t="shared" si="2"/>
        <v>0</v>
      </c>
      <c r="U37" s="476">
        <f t="shared" si="3"/>
        <v>0</v>
      </c>
      <c r="V37" s="476">
        <f t="shared" si="4"/>
        <v>0</v>
      </c>
    </row>
    <row r="38" spans="1:22" ht="12.75" customHeight="1">
      <c r="A38" s="43">
        <f>A37+1</f>
        <v>28</v>
      </c>
      <c r="B38" s="209" t="s">
        <v>91</v>
      </c>
      <c r="C38" s="238">
        <f>'Bieu 05'!C38+'Bieu 06'!C38+'Bieu 07'!C38+'Bieu 08'!C38</f>
        <v>499403747</v>
      </c>
      <c r="D38" s="238">
        <f>'Bieu 05'!D38+'Bieu 06'!D38+'Bieu 07'!D38+'Bieu 08'!D38</f>
        <v>306546748</v>
      </c>
      <c r="E38" s="238">
        <f>'Bieu 05'!E38+'Bieu 06'!E38+'Bieu 07'!E38+'Bieu 08'!E38</f>
        <v>283958164</v>
      </c>
      <c r="F38" s="238">
        <f>'Bieu 05'!F38+'Bieu 06'!F38+'Bieu 07'!F38+'Bieu 08'!F38</f>
        <v>22241836</v>
      </c>
      <c r="G38" s="238">
        <f>'Bieu 05'!G38+'Bieu 06'!G38+'Bieu 07'!G38+'Bieu 08'!G38</f>
        <v>0</v>
      </c>
      <c r="H38" s="238">
        <f>'Bieu 05'!H38+'Bieu 06'!H38+'Bieu 07'!H38+'Bieu 08'!H38</f>
        <v>346748</v>
      </c>
      <c r="I38" s="238">
        <f>'Bieu 05'!I38+'Bieu 06'!I38+'Bieu 07'!I38+'Bieu 08'!I38</f>
        <v>192856999</v>
      </c>
      <c r="J38" s="238">
        <f>'Bieu 05'!J38+'Bieu 06'!J38+'Bieu 07'!J38+'Bieu 08'!J38</f>
        <v>187573081</v>
      </c>
      <c r="K38" s="238">
        <f>'Bieu 05'!K38+'Bieu 06'!K38+'Bieu 07'!K38+'Bieu 08'!K38</f>
        <v>2747886</v>
      </c>
      <c r="L38" s="238">
        <f>'Bieu 05'!L38+'Bieu 06'!L38+'Bieu 07'!L38+'Bieu 08'!L38</f>
        <v>2536032</v>
      </c>
      <c r="M38" s="238">
        <f>'Bieu 05'!M38+'Bieu 06'!M38+'Bieu 07'!M38+'Bieu 08'!M38</f>
        <v>0</v>
      </c>
      <c r="N38" s="477">
        <f>'Bieu 05'!N38+'Bieu 06'!N38+'Bieu 07'!N38+'Bieu 08'!N38</f>
        <v>499403747</v>
      </c>
      <c r="O38" s="238">
        <f>'Bieu 05'!O38+'Bieu 06'!O38+'Bieu 07'!O38+'Bieu 08'!O38</f>
        <v>0</v>
      </c>
      <c r="P38" s="238">
        <f>'Bieu 05'!P38+'Bieu 06'!P38+'Bieu 07'!P38+'Bieu 08'!P38</f>
        <v>11658638</v>
      </c>
      <c r="Q38" s="238">
        <f>'Bieu 05'!Q38+'Bieu 06'!Q38+'Bieu 07'!Q38+'Bieu 08'!Q38</f>
        <v>511062385</v>
      </c>
      <c r="R38" s="476">
        <f t="shared" si="0"/>
        <v>0</v>
      </c>
      <c r="S38" s="476">
        <f t="shared" si="1"/>
        <v>0</v>
      </c>
      <c r="T38" s="476">
        <f t="shared" si="2"/>
        <v>0</v>
      </c>
      <c r="U38" s="476">
        <f t="shared" si="3"/>
        <v>0</v>
      </c>
      <c r="V38" s="476">
        <f t="shared" si="4"/>
        <v>0</v>
      </c>
    </row>
    <row r="39" spans="1:22" s="219" customFormat="1" ht="11.25" customHeight="1">
      <c r="A39" s="213" t="s">
        <v>118</v>
      </c>
      <c r="B39" s="214" t="s">
        <v>66</v>
      </c>
      <c r="C39" s="215">
        <f>'Bieu 05'!C39+'Bieu 06'!C39+'Bieu 07'!C39+'Bieu 08'!C39</f>
        <v>61438608</v>
      </c>
      <c r="D39" s="215">
        <f>'Bieu 05'!D39+'Bieu 06'!D39+'Bieu 07'!D39+'Bieu 08'!D39</f>
        <v>60576921</v>
      </c>
      <c r="E39" s="215">
        <f>'Bieu 05'!E39+'Bieu 06'!E39+'Bieu 07'!E39+'Bieu 08'!E39</f>
        <v>47469657</v>
      </c>
      <c r="F39" s="215">
        <f>'Bieu 05'!F39+'Bieu 06'!F39+'Bieu 07'!F39+'Bieu 08'!F39</f>
        <v>13090343</v>
      </c>
      <c r="G39" s="215">
        <f>'Bieu 05'!G39+'Bieu 06'!G39+'Bieu 07'!G39+'Bieu 08'!G39</f>
        <v>0</v>
      </c>
      <c r="H39" s="215">
        <f>'Bieu 05'!H39+'Bieu 06'!H39+'Bieu 07'!H39+'Bieu 08'!H39</f>
        <v>16921</v>
      </c>
      <c r="I39" s="215">
        <f>'Bieu 05'!I39+'Bieu 06'!I39+'Bieu 07'!I39+'Bieu 08'!I39</f>
        <v>861687</v>
      </c>
      <c r="J39" s="215">
        <f>'Bieu 05'!J39+'Bieu 06'!J39+'Bieu 07'!J39+'Bieu 08'!J39</f>
        <v>715473</v>
      </c>
      <c r="K39" s="215">
        <f>'Bieu 05'!K39+'Bieu 06'!K39+'Bieu 07'!K39+'Bieu 08'!K39</f>
        <v>146214</v>
      </c>
      <c r="L39" s="215">
        <f>'Bieu 05'!L39+'Bieu 06'!L39+'Bieu 07'!L39+'Bieu 08'!L39</f>
        <v>0</v>
      </c>
      <c r="M39" s="215">
        <f>'Bieu 05'!M39+'Bieu 06'!M39+'Bieu 07'!M39+'Bieu 08'!M39</f>
        <v>105614</v>
      </c>
      <c r="N39" s="215">
        <f>'Bieu 05'!N39+'Bieu 06'!N39+'Bieu 07'!N39+'Bieu 08'!N39</f>
        <v>61544222</v>
      </c>
      <c r="O39" s="215">
        <f>'Bieu 05'!O39+'Bieu 06'!O39+'Bieu 07'!O39+'Bieu 08'!O39</f>
        <v>0</v>
      </c>
      <c r="P39" s="215">
        <f>'Bieu 05'!P39+'Bieu 06'!P39+'Bieu 07'!P39+'Bieu 08'!P39</f>
        <v>2064000</v>
      </c>
      <c r="Q39" s="215">
        <f>'Bieu 05'!Q39+'Bieu 06'!Q39+'Bieu 07'!Q39+'Bieu 08'!Q39</f>
        <v>63608222</v>
      </c>
      <c r="R39" s="478">
        <f t="shared" si="0"/>
        <v>0</v>
      </c>
      <c r="S39" s="478">
        <f t="shared" si="1"/>
        <v>0</v>
      </c>
      <c r="T39" s="478">
        <f t="shared" si="2"/>
        <v>0</v>
      </c>
      <c r="U39" s="478">
        <f t="shared" si="3"/>
        <v>0</v>
      </c>
      <c r="V39" s="478">
        <f t="shared" si="4"/>
        <v>0</v>
      </c>
    </row>
    <row r="40" spans="1:22" ht="12.75" customHeight="1">
      <c r="A40" s="220">
        <v>29</v>
      </c>
      <c r="B40" s="221" t="s">
        <v>92</v>
      </c>
      <c r="C40" s="222">
        <f>'Bieu 05'!C40+'Bieu 06'!C40+'Bieu 07'!C40+'Bieu 08'!C40</f>
        <v>36938608</v>
      </c>
      <c r="D40" s="222">
        <f>'Bieu 05'!D40+'Bieu 06'!D40+'Bieu 07'!D40+'Bieu 08'!D40</f>
        <v>36076921</v>
      </c>
      <c r="E40" s="222">
        <f>'Bieu 05'!E40+'Bieu 06'!E40+'Bieu 07'!E40+'Bieu 08'!E40</f>
        <v>28319479</v>
      </c>
      <c r="F40" s="222">
        <f>'Bieu 05'!F40+'Bieu 06'!F40+'Bieu 07'!F40+'Bieu 08'!F40</f>
        <v>7740521</v>
      </c>
      <c r="G40" s="222">
        <f>'Bieu 05'!G40+'Bieu 06'!G40+'Bieu 07'!G40+'Bieu 08'!G40</f>
        <v>0</v>
      </c>
      <c r="H40" s="222">
        <f>'Bieu 05'!H40+'Bieu 06'!H40+'Bieu 07'!H40+'Bieu 08'!H40</f>
        <v>16921</v>
      </c>
      <c r="I40" s="222">
        <f>'Bieu 05'!I40+'Bieu 06'!I40+'Bieu 07'!I40+'Bieu 08'!I40</f>
        <v>861687</v>
      </c>
      <c r="J40" s="222">
        <f>'Bieu 05'!J40+'Bieu 06'!J40+'Bieu 07'!J40+'Bieu 08'!J40</f>
        <v>715473</v>
      </c>
      <c r="K40" s="222">
        <f>'Bieu 05'!K40+'Bieu 06'!K40+'Bieu 07'!K40+'Bieu 08'!K40</f>
        <v>146214</v>
      </c>
      <c r="L40" s="222">
        <f>'Bieu 05'!L40+'Bieu 06'!L40+'Bieu 07'!L40+'Bieu 08'!L40</f>
        <v>0</v>
      </c>
      <c r="M40" s="222">
        <f>'Bieu 05'!M40+'Bieu 06'!M40+'Bieu 07'!M40+'Bieu 08'!M40</f>
        <v>105614</v>
      </c>
      <c r="N40" s="467">
        <f>'Bieu 05'!N40+'Bieu 06'!N40+'Bieu 07'!N40+'Bieu 08'!N40</f>
        <v>37044222</v>
      </c>
      <c r="O40" s="222">
        <f>'Bieu 05'!O40+'Bieu 06'!O40+'Bieu 07'!O40+'Bieu 08'!O40</f>
        <v>0</v>
      </c>
      <c r="P40" s="222">
        <f>'Bieu 05'!P40+'Bieu 06'!P40+'Bieu 07'!P40+'Bieu 08'!P40</f>
        <v>2064000</v>
      </c>
      <c r="Q40" s="222">
        <f>'Bieu 05'!Q40+'Bieu 06'!Q40+'Bieu 07'!Q40+'Bieu 08'!Q40</f>
        <v>39108222</v>
      </c>
      <c r="R40" s="476">
        <f t="shared" si="0"/>
        <v>0</v>
      </c>
      <c r="S40" s="476">
        <f t="shared" si="1"/>
        <v>0</v>
      </c>
      <c r="T40" s="476">
        <f t="shared" si="2"/>
        <v>0</v>
      </c>
      <c r="U40" s="476">
        <f t="shared" si="3"/>
        <v>0</v>
      </c>
      <c r="V40" s="476">
        <f t="shared" si="4"/>
        <v>0</v>
      </c>
    </row>
    <row r="41" spans="1:22" ht="12.75" customHeight="1">
      <c r="A41" s="43">
        <v>30</v>
      </c>
      <c r="B41" s="44" t="s">
        <v>93</v>
      </c>
      <c r="C41" s="222">
        <f>'Bieu 05'!C41+'Bieu 06'!C41+'Bieu 07'!C41+'Bieu 08'!C41</f>
        <v>24500000</v>
      </c>
      <c r="D41" s="222">
        <f>'Bieu 05'!D41+'Bieu 06'!D41+'Bieu 07'!D41+'Bieu 08'!D41</f>
        <v>24500000</v>
      </c>
      <c r="E41" s="222">
        <f>'Bieu 05'!E41+'Bieu 06'!E41+'Bieu 07'!E41+'Bieu 08'!E41</f>
        <v>19150178</v>
      </c>
      <c r="F41" s="222">
        <f>'Bieu 05'!F41+'Bieu 06'!F41+'Bieu 07'!F41+'Bieu 08'!F41</f>
        <v>5349822</v>
      </c>
      <c r="G41" s="222">
        <f>'Bieu 05'!G41+'Bieu 06'!G41+'Bieu 07'!G41+'Bieu 08'!G41</f>
        <v>0</v>
      </c>
      <c r="H41" s="222">
        <f>'Bieu 05'!H41+'Bieu 06'!H41+'Bieu 07'!H41+'Bieu 08'!H41</f>
        <v>0</v>
      </c>
      <c r="I41" s="222">
        <f>'Bieu 05'!I41+'Bieu 06'!I41+'Bieu 07'!I41+'Bieu 08'!I41</f>
        <v>0</v>
      </c>
      <c r="J41" s="222">
        <f>'Bieu 05'!J41+'Bieu 06'!J41+'Bieu 07'!J41+'Bieu 08'!J41</f>
        <v>0</v>
      </c>
      <c r="K41" s="222">
        <f>'Bieu 05'!K41+'Bieu 06'!K41+'Bieu 07'!K41+'Bieu 08'!K41</f>
        <v>0</v>
      </c>
      <c r="L41" s="222">
        <f>'Bieu 05'!L41+'Bieu 06'!L41+'Bieu 07'!L41+'Bieu 08'!L41</f>
        <v>0</v>
      </c>
      <c r="M41" s="222">
        <f>'Bieu 05'!M41+'Bieu 06'!M41+'Bieu 07'!M41+'Bieu 08'!M41</f>
        <v>0</v>
      </c>
      <c r="N41" s="467">
        <f>'Bieu 05'!N41+'Bieu 06'!N41+'Bieu 07'!N41+'Bieu 08'!N41</f>
        <v>24500000</v>
      </c>
      <c r="O41" s="222">
        <f>'Bieu 05'!O41+'Bieu 06'!O41+'Bieu 07'!O41+'Bieu 08'!O41</f>
        <v>0</v>
      </c>
      <c r="P41" s="222">
        <f>'Bieu 05'!P41+'Bieu 06'!P41+'Bieu 07'!P41+'Bieu 08'!P41</f>
        <v>0</v>
      </c>
      <c r="Q41" s="222">
        <f>'Bieu 05'!Q41+'Bieu 06'!Q41+'Bieu 07'!Q41+'Bieu 08'!Q41</f>
        <v>24500000</v>
      </c>
      <c r="R41" s="476">
        <f t="shared" si="0"/>
        <v>0</v>
      </c>
      <c r="S41" s="476">
        <f t="shared" si="1"/>
        <v>0</v>
      </c>
      <c r="T41" s="476">
        <f t="shared" si="2"/>
        <v>0</v>
      </c>
      <c r="U41" s="476">
        <f t="shared" si="3"/>
        <v>0</v>
      </c>
      <c r="V41" s="476">
        <f t="shared" si="4"/>
        <v>0</v>
      </c>
    </row>
    <row r="42" spans="1:22" s="482" customFormat="1" ht="15" customHeight="1">
      <c r="A42" s="479"/>
      <c r="B42" s="480" t="s">
        <v>400</v>
      </c>
      <c r="C42" s="481">
        <f>'Bieu 05'!C42+'Bieu 06'!C42+'Bieu 07'!C42+'Bieu 08'!C42</f>
        <v>2850568720</v>
      </c>
      <c r="D42" s="481">
        <f>'Bieu 05'!D42+'Bieu 06'!D42+'Bieu 07'!D42+'Bieu 08'!D42</f>
        <v>2208659055</v>
      </c>
      <c r="E42" s="481">
        <f>'Bieu 05'!E42+'Bieu 06'!E42+'Bieu 07'!E42+'Bieu 08'!E42</f>
        <v>2163175477</v>
      </c>
      <c r="F42" s="481">
        <f>'Bieu 05'!F42+'Bieu 06'!F42+'Bieu 07'!F42+'Bieu 08'!F42</f>
        <v>42651874</v>
      </c>
      <c r="G42" s="481">
        <f>'Bieu 05'!G42+'Bieu 06'!G42+'Bieu 07'!G42+'Bieu 08'!G42</f>
        <v>0</v>
      </c>
      <c r="H42" s="481">
        <f>'Bieu 05'!H42+'Bieu 06'!H42+'Bieu 07'!H42+'Bieu 08'!H42</f>
        <v>2831704</v>
      </c>
      <c r="I42" s="481">
        <f>'Bieu 05'!I42+'Bieu 06'!I42+'Bieu 07'!I42+'Bieu 08'!I42</f>
        <v>641909665</v>
      </c>
      <c r="J42" s="481">
        <f>'Bieu 05'!J42+'Bieu 06'!J42+'Bieu 07'!J42+'Bieu 08'!J42</f>
        <v>623546324</v>
      </c>
      <c r="K42" s="481">
        <f>'Bieu 05'!K42+'Bieu 06'!K42+'Bieu 07'!K42+'Bieu 08'!K42</f>
        <v>14967695</v>
      </c>
      <c r="L42" s="481">
        <f>'Bieu 05'!L42+'Bieu 06'!L42+'Bieu 07'!L42+'Bieu 08'!L42</f>
        <v>3395646</v>
      </c>
      <c r="M42" s="481">
        <f>'Bieu 05'!M42+'Bieu 06'!M42+'Bieu 07'!M42+'Bieu 08'!M42</f>
        <v>34297625</v>
      </c>
      <c r="N42" s="481">
        <f>'Bieu 05'!N42+'Bieu 06'!N42+'Bieu 07'!N42+'Bieu 08'!N42</f>
        <v>2884866345</v>
      </c>
      <c r="O42" s="481">
        <f>'Bieu 05'!O42+'Bieu 06'!O42+'Bieu 07'!O42+'Bieu 08'!O42</f>
        <v>18564200</v>
      </c>
      <c r="P42" s="481">
        <f>'Bieu 05'!P42+'Bieu 06'!P42+'Bieu 07'!P42+'Bieu 08'!P42</f>
        <v>30068880</v>
      </c>
      <c r="Q42" s="481">
        <f>'Bieu 05'!Q42+'Bieu 06'!Q42+'Bieu 07'!Q42+'Bieu 08'!Q42</f>
        <v>2933499425</v>
      </c>
      <c r="R42" s="478">
        <f t="shared" si="0"/>
        <v>0</v>
      </c>
      <c r="S42" s="478">
        <f t="shared" si="1"/>
        <v>0</v>
      </c>
      <c r="T42" s="478">
        <f t="shared" si="2"/>
        <v>0</v>
      </c>
      <c r="U42" s="478">
        <f t="shared" si="3"/>
        <v>0</v>
      </c>
      <c r="V42" s="478">
        <f t="shared" si="4"/>
        <v>0</v>
      </c>
    </row>
    <row r="43" spans="1:22" s="482" customFormat="1" ht="21" customHeight="1">
      <c r="A43" s="479" t="s">
        <v>196</v>
      </c>
      <c r="B43" s="483" t="s">
        <v>409</v>
      </c>
      <c r="C43" s="481">
        <v>248957000</v>
      </c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78"/>
      <c r="S43" s="478"/>
      <c r="T43" s="478"/>
      <c r="U43" s="478"/>
      <c r="V43" s="478"/>
    </row>
    <row r="44" spans="1:22" s="482" customFormat="1" ht="15.75" customHeight="1">
      <c r="A44" s="479" t="s">
        <v>318</v>
      </c>
      <c r="B44" s="480" t="s">
        <v>405</v>
      </c>
      <c r="C44" s="481">
        <v>12335299</v>
      </c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78"/>
      <c r="S44" s="478"/>
      <c r="T44" s="478"/>
      <c r="U44" s="478"/>
      <c r="V44" s="478"/>
    </row>
    <row r="45" spans="2:17" s="219" customFormat="1" ht="14.25" customHeight="1">
      <c r="B45" s="219" t="s">
        <v>401</v>
      </c>
      <c r="C45" s="268">
        <f>C42+C43+C44</f>
        <v>3111861019</v>
      </c>
      <c r="F45" s="268"/>
      <c r="M45" s="215"/>
      <c r="N45" s="215"/>
      <c r="O45" s="215"/>
      <c r="P45" s="215"/>
      <c r="Q45" s="215"/>
    </row>
    <row r="46" spans="1:17" ht="13.5" customHeight="1">
      <c r="A46" s="233" t="s">
        <v>406</v>
      </c>
      <c r="B46" s="233"/>
      <c r="C46" s="459"/>
      <c r="D46" s="459"/>
      <c r="M46" s="464"/>
      <c r="N46" s="464"/>
      <c r="O46" s="464"/>
      <c r="P46" s="464"/>
      <c r="Q46" s="464"/>
    </row>
    <row r="47" spans="1:17" ht="13.5" customHeight="1">
      <c r="A47" s="849" t="s">
        <v>412</v>
      </c>
      <c r="B47" s="849"/>
      <c r="C47" s="251">
        <f>C48+C49</f>
        <v>3108993169</v>
      </c>
      <c r="D47" s="251" t="str">
        <f>D48</f>
        <v>nghìn đồng</v>
      </c>
      <c r="M47" s="464"/>
      <c r="N47" s="464"/>
      <c r="O47" s="464"/>
      <c r="P47" s="464"/>
      <c r="Q47" s="464"/>
    </row>
    <row r="48" spans="1:17" ht="13.5" customHeight="1">
      <c r="A48" s="485" t="s">
        <v>411</v>
      </c>
      <c r="B48" s="486"/>
      <c r="C48" s="464">
        <f>+C43+C44+D42-2867850</f>
        <v>2467083504</v>
      </c>
      <c r="D48" s="459" t="s">
        <v>408</v>
      </c>
      <c r="F48" s="459"/>
      <c r="G48" s="459"/>
      <c r="M48" s="464"/>
      <c r="N48" s="464"/>
      <c r="O48" s="464"/>
      <c r="P48" s="464"/>
      <c r="Q48" s="464"/>
    </row>
    <row r="49" spans="1:6" ht="12.75" customHeight="1">
      <c r="A49" s="847" t="s">
        <v>407</v>
      </c>
      <c r="B49" s="848"/>
      <c r="C49" s="464">
        <f>I42</f>
        <v>641909665</v>
      </c>
      <c r="D49" s="464" t="s">
        <v>408</v>
      </c>
      <c r="E49" s="464"/>
      <c r="F49" s="464"/>
    </row>
    <row r="50" spans="1:5" ht="13.5" customHeight="1">
      <c r="A50" s="487" t="s">
        <v>413</v>
      </c>
      <c r="B50" s="487"/>
      <c r="C50" s="237">
        <v>2867850</v>
      </c>
      <c r="D50" s="237" t="str">
        <f>D49</f>
        <v>nghìn đồng</v>
      </c>
      <c r="E50" s="459"/>
    </row>
    <row r="51" spans="1:6" ht="21.75" customHeight="1">
      <c r="A51" s="850" t="s">
        <v>414</v>
      </c>
      <c r="B51" s="850"/>
      <c r="C51" s="251">
        <f>C47+C50</f>
        <v>3111861019</v>
      </c>
      <c r="D51" s="251" t="str">
        <f>D49</f>
        <v>nghìn đồng</v>
      </c>
      <c r="E51" s="459"/>
      <c r="F51" s="459"/>
    </row>
    <row r="52" spans="3:4" ht="35.25" customHeight="1">
      <c r="C52" s="464"/>
      <c r="D52" s="459"/>
    </row>
  </sheetData>
  <sheetProtection/>
  <mergeCells count="15">
    <mergeCell ref="N2:N4"/>
    <mergeCell ref="P2:P4"/>
    <mergeCell ref="Q2:Q4"/>
    <mergeCell ref="C3:C4"/>
    <mergeCell ref="D3:H3"/>
    <mergeCell ref="I3:L3"/>
    <mergeCell ref="O2:O4"/>
    <mergeCell ref="A49:B49"/>
    <mergeCell ref="A47:B47"/>
    <mergeCell ref="A51:B51"/>
    <mergeCell ref="O1:Q1"/>
    <mergeCell ref="A2:A4"/>
    <mergeCell ref="B2:B4"/>
    <mergeCell ref="C2:L2"/>
    <mergeCell ref="M2:M4"/>
  </mergeCells>
  <printOptions horizontalCentered="1"/>
  <pageMargins left="0.2" right="0.2" top="0.6" bottom="0.15" header="0.3" footer="0.3"/>
  <pageSetup horizontalDpi="600" verticalDpi="600" orientation="landscape" paperSize="9" r:id="rId1"/>
  <headerFooter>
    <oddHeader>&amp;C&amp;"Time new roman,Bold"&amp;10Phụ biểu 02. Tổng hợp kết quả huy động các nguồn thu của QBV&amp;PTR trên toàn quốc từ năm 2011 - 2014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49"/>
  <sheetViews>
    <sheetView zoomScale="115" zoomScaleNormal="115" zoomScalePageLayoutView="0" workbookViewId="0" topLeftCell="A1">
      <pane xSplit="2" ySplit="8" topLeftCell="C15" activePane="bottomRight" state="frozen"/>
      <selection pane="topLeft" activeCell="A21" sqref="A21:IV21"/>
      <selection pane="topRight" activeCell="A21" sqref="A21:IV21"/>
      <selection pane="bottomLeft" activeCell="A21" sqref="A21:IV21"/>
      <selection pane="bottomRight" activeCell="D46" sqref="D46"/>
    </sheetView>
  </sheetViews>
  <sheetFormatPr defaultColWidth="9.140625" defaultRowHeight="35.25" customHeight="1"/>
  <cols>
    <col min="1" max="1" width="6.00390625" style="14" customWidth="1"/>
    <col min="2" max="2" width="12.28125" style="14" customWidth="1"/>
    <col min="3" max="3" width="12.421875" style="14" customWidth="1"/>
    <col min="4" max="4" width="10.57421875" style="14" customWidth="1"/>
    <col min="5" max="5" width="9.421875" style="14" customWidth="1"/>
    <col min="6" max="6" width="9.00390625" style="14" customWidth="1"/>
    <col min="7" max="7" width="10.28125" style="14" customWidth="1"/>
    <col min="8" max="8" width="9.28125" style="14" customWidth="1"/>
    <col min="9" max="9" width="10.57421875" style="14" customWidth="1"/>
    <col min="10" max="11" width="9.00390625" style="14" customWidth="1"/>
    <col min="12" max="12" width="8.28125" style="14" customWidth="1"/>
    <col min="13" max="13" width="12.140625" style="14" customWidth="1"/>
    <col min="14" max="14" width="9.421875" style="14" customWidth="1"/>
    <col min="15" max="15" width="10.00390625" style="14" customWidth="1"/>
    <col min="16" max="16" width="7.7109375" style="15" customWidth="1"/>
    <col min="17" max="17" width="4.57421875" style="15" customWidth="1"/>
    <col min="18" max="18" width="8.28125" style="15" customWidth="1"/>
    <col min="19" max="19" width="9.28125" style="15" customWidth="1"/>
    <col min="20" max="20" width="7.00390625" style="16" customWidth="1"/>
    <col min="21" max="21" width="9.28125" style="16" customWidth="1"/>
    <col min="22" max="22" width="6.8515625" style="16" customWidth="1"/>
    <col min="23" max="23" width="7.57421875" style="16" customWidth="1"/>
    <col min="24" max="24" width="9.57421875" style="16" customWidth="1"/>
    <col min="25" max="25" width="11.57421875" style="16" customWidth="1"/>
    <col min="26" max="26" width="7.00390625" style="16" customWidth="1"/>
    <col min="27" max="27" width="11.00390625" style="16" customWidth="1"/>
    <col min="28" max="28" width="6.421875" style="16" customWidth="1"/>
    <col min="29" max="29" width="5.8515625" style="16" customWidth="1"/>
    <col min="30" max="30" width="8.7109375" style="16" customWidth="1"/>
    <col min="31" max="31" width="6.421875" style="16" customWidth="1"/>
    <col min="32" max="32" width="5.8515625" style="16" customWidth="1"/>
    <col min="33" max="33" width="10.140625" style="16" customWidth="1"/>
    <col min="34" max="34" width="6.421875" style="16" customWidth="1"/>
    <col min="35" max="35" width="5.8515625" style="16" customWidth="1"/>
    <col min="36" max="36" width="9.57421875" style="16" customWidth="1"/>
    <col min="37" max="38" width="8.7109375" style="14" customWidth="1"/>
    <col min="39" max="39" width="9.00390625" style="14" customWidth="1"/>
    <col min="40" max="41" width="9.140625" style="14" customWidth="1"/>
    <col min="42" max="44" width="8.00390625" style="14" customWidth="1"/>
    <col min="45" max="45" width="12.57421875" style="14" customWidth="1"/>
    <col min="46" max="46" width="13.140625" style="14" customWidth="1"/>
    <col min="47" max="16384" width="9.140625" style="14" customWidth="1"/>
  </cols>
  <sheetData>
    <row r="1" spans="1:46" s="17" customFormat="1" ht="15.75" customHeight="1">
      <c r="A1" s="875" t="s">
        <v>0</v>
      </c>
      <c r="B1" s="875" t="s">
        <v>131</v>
      </c>
      <c r="C1" s="872" t="s">
        <v>156</v>
      </c>
      <c r="D1" s="873"/>
      <c r="E1" s="873"/>
      <c r="F1" s="873"/>
      <c r="G1" s="873"/>
      <c r="H1" s="873"/>
      <c r="I1" s="874"/>
      <c r="J1" s="872" t="s">
        <v>128</v>
      </c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873"/>
      <c r="AB1" s="873"/>
      <c r="AC1" s="873"/>
      <c r="AD1" s="95"/>
      <c r="AE1" s="95"/>
      <c r="AF1" s="95"/>
      <c r="AG1" s="95"/>
      <c r="AH1" s="95"/>
      <c r="AI1" s="95"/>
      <c r="AJ1" s="869" t="s">
        <v>163</v>
      </c>
      <c r="AK1" s="869"/>
      <c r="AL1" s="869"/>
      <c r="AM1" s="869"/>
      <c r="AN1" s="869"/>
      <c r="AO1" s="870"/>
      <c r="AP1" s="862" t="s">
        <v>166</v>
      </c>
      <c r="AT1" s="14"/>
    </row>
    <row r="2" spans="1:46" s="17" customFormat="1" ht="13.5" customHeight="1">
      <c r="A2" s="876"/>
      <c r="B2" s="876"/>
      <c r="C2" s="851" t="s">
        <v>121</v>
      </c>
      <c r="D2" s="868" t="s">
        <v>95</v>
      </c>
      <c r="E2" s="869"/>
      <c r="F2" s="869"/>
      <c r="G2" s="869"/>
      <c r="H2" s="870"/>
      <c r="I2" s="851" t="s">
        <v>164</v>
      </c>
      <c r="J2" s="851" t="s">
        <v>129</v>
      </c>
      <c r="K2" s="851" t="s">
        <v>228</v>
      </c>
      <c r="L2" s="851" t="s">
        <v>130</v>
      </c>
      <c r="M2" s="871" t="s">
        <v>122</v>
      </c>
      <c r="N2" s="871"/>
      <c r="O2" s="865" t="s">
        <v>95</v>
      </c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94"/>
      <c r="AE2" s="94"/>
      <c r="AF2" s="94"/>
      <c r="AG2" s="94"/>
      <c r="AH2" s="94"/>
      <c r="AI2" s="94"/>
      <c r="AJ2" s="878" t="s">
        <v>143</v>
      </c>
      <c r="AK2" s="851" t="s">
        <v>5</v>
      </c>
      <c r="AL2" s="851" t="s">
        <v>228</v>
      </c>
      <c r="AM2" s="851" t="s">
        <v>132</v>
      </c>
      <c r="AN2" s="862" t="s">
        <v>133</v>
      </c>
      <c r="AO2" s="878" t="s">
        <v>155</v>
      </c>
      <c r="AP2" s="863"/>
      <c r="AT2" s="14"/>
    </row>
    <row r="3" spans="1:46" s="17" customFormat="1" ht="23.25" customHeight="1">
      <c r="A3" s="876"/>
      <c r="B3" s="876"/>
      <c r="C3" s="852"/>
      <c r="D3" s="851" t="s">
        <v>5</v>
      </c>
      <c r="E3" s="851" t="s">
        <v>228</v>
      </c>
      <c r="F3" s="851" t="s">
        <v>154</v>
      </c>
      <c r="G3" s="851" t="s">
        <v>120</v>
      </c>
      <c r="H3" s="871" t="s">
        <v>155</v>
      </c>
      <c r="I3" s="852"/>
      <c r="J3" s="852"/>
      <c r="K3" s="852"/>
      <c r="L3" s="852"/>
      <c r="M3" s="871"/>
      <c r="N3" s="871"/>
      <c r="O3" s="865" t="s">
        <v>13</v>
      </c>
      <c r="P3" s="866"/>
      <c r="Q3" s="866"/>
      <c r="R3" s="866"/>
      <c r="S3" s="866"/>
      <c r="T3" s="866"/>
      <c r="U3" s="866"/>
      <c r="V3" s="866"/>
      <c r="W3" s="866"/>
      <c r="X3" s="865" t="s">
        <v>123</v>
      </c>
      <c r="Y3" s="866"/>
      <c r="Z3" s="866"/>
      <c r="AA3" s="865" t="s">
        <v>98</v>
      </c>
      <c r="AB3" s="866"/>
      <c r="AC3" s="866"/>
      <c r="AD3" s="866"/>
      <c r="AE3" s="866"/>
      <c r="AF3" s="866"/>
      <c r="AG3" s="866"/>
      <c r="AH3" s="866"/>
      <c r="AI3" s="867"/>
      <c r="AJ3" s="878"/>
      <c r="AK3" s="852"/>
      <c r="AL3" s="852"/>
      <c r="AM3" s="852"/>
      <c r="AN3" s="863"/>
      <c r="AO3" s="878"/>
      <c r="AP3" s="863"/>
      <c r="AT3" s="14"/>
    </row>
    <row r="4" spans="1:46" s="17" customFormat="1" ht="18.75" customHeight="1">
      <c r="A4" s="876"/>
      <c r="B4" s="876"/>
      <c r="C4" s="852"/>
      <c r="D4" s="852"/>
      <c r="E4" s="852"/>
      <c r="F4" s="852"/>
      <c r="G4" s="852"/>
      <c r="H4" s="871"/>
      <c r="I4" s="852"/>
      <c r="J4" s="852"/>
      <c r="K4" s="852"/>
      <c r="L4" s="852"/>
      <c r="M4" s="851" t="s">
        <v>124</v>
      </c>
      <c r="N4" s="851" t="s">
        <v>125</v>
      </c>
      <c r="O4" s="851" t="s">
        <v>96</v>
      </c>
      <c r="P4" s="857" t="s">
        <v>99</v>
      </c>
      <c r="Q4" s="857" t="s">
        <v>145</v>
      </c>
      <c r="R4" s="854" t="s">
        <v>95</v>
      </c>
      <c r="S4" s="855"/>
      <c r="T4" s="855"/>
      <c r="U4" s="855"/>
      <c r="V4" s="855"/>
      <c r="W4" s="856"/>
      <c r="X4" s="862" t="s">
        <v>124</v>
      </c>
      <c r="Y4" s="862" t="s">
        <v>125</v>
      </c>
      <c r="Z4" s="862" t="s">
        <v>217</v>
      </c>
      <c r="AA4" s="882" t="s">
        <v>96</v>
      </c>
      <c r="AB4" s="882" t="s">
        <v>97</v>
      </c>
      <c r="AC4" s="879" t="s">
        <v>146</v>
      </c>
      <c r="AD4" s="854" t="s">
        <v>95</v>
      </c>
      <c r="AE4" s="855"/>
      <c r="AF4" s="855"/>
      <c r="AG4" s="855"/>
      <c r="AH4" s="855"/>
      <c r="AI4" s="856"/>
      <c r="AJ4" s="878"/>
      <c r="AK4" s="852"/>
      <c r="AL4" s="852"/>
      <c r="AM4" s="852"/>
      <c r="AN4" s="863"/>
      <c r="AO4" s="878"/>
      <c r="AP4" s="863"/>
      <c r="AT4" s="14"/>
    </row>
    <row r="5" spans="1:42" ht="21.75" customHeight="1">
      <c r="A5" s="876"/>
      <c r="B5" s="876"/>
      <c r="C5" s="852"/>
      <c r="D5" s="852"/>
      <c r="E5" s="852"/>
      <c r="F5" s="852"/>
      <c r="G5" s="852"/>
      <c r="H5" s="871"/>
      <c r="I5" s="852"/>
      <c r="J5" s="852"/>
      <c r="K5" s="852"/>
      <c r="L5" s="852"/>
      <c r="M5" s="852"/>
      <c r="N5" s="852"/>
      <c r="O5" s="852"/>
      <c r="P5" s="881"/>
      <c r="Q5" s="881"/>
      <c r="R5" s="857" t="s">
        <v>127</v>
      </c>
      <c r="S5" s="859" t="s">
        <v>14</v>
      </c>
      <c r="T5" s="860"/>
      <c r="U5" s="861" t="s">
        <v>306</v>
      </c>
      <c r="V5" s="861"/>
      <c r="W5" s="861"/>
      <c r="X5" s="863"/>
      <c r="Y5" s="863"/>
      <c r="Z5" s="863"/>
      <c r="AA5" s="882"/>
      <c r="AB5" s="882"/>
      <c r="AC5" s="879"/>
      <c r="AD5" s="857" t="s">
        <v>127</v>
      </c>
      <c r="AE5" s="859" t="s">
        <v>14</v>
      </c>
      <c r="AF5" s="860"/>
      <c r="AG5" s="861" t="s">
        <v>306</v>
      </c>
      <c r="AH5" s="861"/>
      <c r="AI5" s="861"/>
      <c r="AJ5" s="878"/>
      <c r="AK5" s="852"/>
      <c r="AL5" s="852"/>
      <c r="AM5" s="852"/>
      <c r="AN5" s="863"/>
      <c r="AO5" s="878"/>
      <c r="AP5" s="863"/>
    </row>
    <row r="6" spans="1:42" ht="33.75" customHeight="1">
      <c r="A6" s="877"/>
      <c r="B6" s="877"/>
      <c r="C6" s="853"/>
      <c r="D6" s="853"/>
      <c r="E6" s="853"/>
      <c r="F6" s="853"/>
      <c r="G6" s="853"/>
      <c r="H6" s="871"/>
      <c r="I6" s="853"/>
      <c r="J6" s="853"/>
      <c r="K6" s="853"/>
      <c r="L6" s="853"/>
      <c r="M6" s="853"/>
      <c r="N6" s="853"/>
      <c r="O6" s="853"/>
      <c r="P6" s="858"/>
      <c r="Q6" s="858"/>
      <c r="R6" s="858"/>
      <c r="S6" s="49" t="s">
        <v>124</v>
      </c>
      <c r="T6" s="18" t="s">
        <v>125</v>
      </c>
      <c r="U6" s="19" t="s">
        <v>126</v>
      </c>
      <c r="V6" s="19" t="s">
        <v>125</v>
      </c>
      <c r="W6" s="19" t="s">
        <v>305</v>
      </c>
      <c r="X6" s="864"/>
      <c r="Y6" s="864"/>
      <c r="Z6" s="864"/>
      <c r="AA6" s="883"/>
      <c r="AB6" s="883"/>
      <c r="AC6" s="880"/>
      <c r="AD6" s="858"/>
      <c r="AE6" s="49" t="s">
        <v>124</v>
      </c>
      <c r="AF6" s="18" t="s">
        <v>125</v>
      </c>
      <c r="AG6" s="19" t="s">
        <v>126</v>
      </c>
      <c r="AH6" s="19" t="s">
        <v>125</v>
      </c>
      <c r="AI6" s="19" t="s">
        <v>305</v>
      </c>
      <c r="AJ6" s="878"/>
      <c r="AK6" s="853"/>
      <c r="AL6" s="853"/>
      <c r="AM6" s="853"/>
      <c r="AN6" s="864"/>
      <c r="AO6" s="878"/>
      <c r="AP6" s="864"/>
    </row>
    <row r="7" spans="1:46" s="21" customFormat="1" ht="13.5" customHeight="1">
      <c r="A7" s="80" t="s">
        <v>9</v>
      </c>
      <c r="B7" s="80" t="s">
        <v>10</v>
      </c>
      <c r="C7" s="81" t="s">
        <v>157</v>
      </c>
      <c r="D7" s="81" t="s">
        <v>100</v>
      </c>
      <c r="E7" s="81" t="s">
        <v>101</v>
      </c>
      <c r="F7" s="81" t="s">
        <v>102</v>
      </c>
      <c r="G7" s="81" t="s">
        <v>103</v>
      </c>
      <c r="H7" s="81" t="s">
        <v>230</v>
      </c>
      <c r="I7" s="81" t="s">
        <v>134</v>
      </c>
      <c r="J7" s="81" t="s">
        <v>135</v>
      </c>
      <c r="K7" s="81" t="s">
        <v>231</v>
      </c>
      <c r="L7" s="81" t="s">
        <v>232</v>
      </c>
      <c r="M7" s="81" t="s">
        <v>235</v>
      </c>
      <c r="N7" s="81" t="s">
        <v>236</v>
      </c>
      <c r="O7" s="81" t="s">
        <v>237</v>
      </c>
      <c r="P7" s="82" t="s">
        <v>238</v>
      </c>
      <c r="Q7" s="82" t="s">
        <v>136</v>
      </c>
      <c r="R7" s="82" t="s">
        <v>137</v>
      </c>
      <c r="S7" s="82" t="s">
        <v>138</v>
      </c>
      <c r="T7" s="82" t="s">
        <v>139</v>
      </c>
      <c r="U7" s="82" t="s">
        <v>140</v>
      </c>
      <c r="V7" s="82" t="s">
        <v>141</v>
      </c>
      <c r="W7" s="82" t="s">
        <v>142</v>
      </c>
      <c r="X7" s="82" t="s">
        <v>158</v>
      </c>
      <c r="Y7" s="82" t="s">
        <v>159</v>
      </c>
      <c r="Z7" s="82" t="s">
        <v>160</v>
      </c>
      <c r="AA7" s="82" t="s">
        <v>239</v>
      </c>
      <c r="AB7" s="82" t="s">
        <v>240</v>
      </c>
      <c r="AC7" s="82" t="s">
        <v>218</v>
      </c>
      <c r="AD7" s="83" t="s">
        <v>219</v>
      </c>
      <c r="AE7" s="83" t="s">
        <v>220</v>
      </c>
      <c r="AF7" s="83" t="s">
        <v>221</v>
      </c>
      <c r="AG7" s="83" t="s">
        <v>222</v>
      </c>
      <c r="AH7" s="83" t="s">
        <v>223</v>
      </c>
      <c r="AI7" s="83" t="s">
        <v>224</v>
      </c>
      <c r="AJ7" s="83" t="s">
        <v>233</v>
      </c>
      <c r="AK7" s="82" t="s">
        <v>234</v>
      </c>
      <c r="AL7" s="82" t="s">
        <v>241</v>
      </c>
      <c r="AM7" s="80" t="s">
        <v>242</v>
      </c>
      <c r="AN7" s="80" t="s">
        <v>243</v>
      </c>
      <c r="AO7" s="80" t="s">
        <v>244</v>
      </c>
      <c r="AP7" s="80" t="s">
        <v>245</v>
      </c>
      <c r="AT7" s="22"/>
    </row>
    <row r="8" spans="1:46" s="17" customFormat="1" ht="17.25" customHeight="1">
      <c r="A8" s="23" t="s">
        <v>105</v>
      </c>
      <c r="B8" s="24" t="s">
        <v>61</v>
      </c>
      <c r="C8" s="50">
        <f>SUM(C9:C12)</f>
        <v>390838955</v>
      </c>
      <c r="D8" s="50">
        <f aca="true" t="shared" si="0" ref="D8:AO8">SUM(D9:D12)</f>
        <v>25646005</v>
      </c>
      <c r="E8" s="50"/>
      <c r="F8" s="50">
        <f t="shared" si="0"/>
        <v>18550702</v>
      </c>
      <c r="G8" s="50">
        <f t="shared" si="0"/>
        <v>330808442</v>
      </c>
      <c r="H8" s="50">
        <f t="shared" si="0"/>
        <v>15833806</v>
      </c>
      <c r="I8" s="50">
        <f t="shared" si="0"/>
        <v>311045158</v>
      </c>
      <c r="J8" s="50">
        <f t="shared" si="0"/>
        <v>15209305</v>
      </c>
      <c r="K8" s="50"/>
      <c r="L8" s="50">
        <f t="shared" si="0"/>
        <v>0</v>
      </c>
      <c r="M8" s="50">
        <f>SUM(M9:M12)</f>
        <v>295835853</v>
      </c>
      <c r="N8" s="50">
        <f t="shared" si="0"/>
        <v>1085012</v>
      </c>
      <c r="O8" s="50">
        <f t="shared" si="0"/>
        <v>19151954</v>
      </c>
      <c r="P8" s="50">
        <f t="shared" si="0"/>
        <v>72811</v>
      </c>
      <c r="Q8" s="50">
        <f t="shared" si="0"/>
        <v>28</v>
      </c>
      <c r="R8" s="50">
        <f t="shared" si="0"/>
        <v>1829126</v>
      </c>
      <c r="S8" s="50">
        <f t="shared" si="0"/>
        <v>4793292</v>
      </c>
      <c r="T8" s="50">
        <f t="shared" si="0"/>
        <v>17741</v>
      </c>
      <c r="U8" s="50">
        <f t="shared" si="0"/>
        <v>12529536</v>
      </c>
      <c r="V8" s="50">
        <f t="shared" si="0"/>
        <v>54670</v>
      </c>
      <c r="W8" s="50">
        <f t="shared" si="0"/>
        <v>1588</v>
      </c>
      <c r="X8" s="50">
        <f t="shared" si="0"/>
        <v>147707157</v>
      </c>
      <c r="Y8" s="50">
        <f t="shared" si="0"/>
        <v>570836</v>
      </c>
      <c r="Z8" s="50">
        <f t="shared" si="0"/>
        <v>55991</v>
      </c>
      <c r="AA8" s="50">
        <f t="shared" si="0"/>
        <v>128976742</v>
      </c>
      <c r="AB8" s="50">
        <f t="shared" si="0"/>
        <v>441365</v>
      </c>
      <c r="AC8" s="50">
        <f t="shared" si="0"/>
        <v>11</v>
      </c>
      <c r="AD8" s="50">
        <f t="shared" si="0"/>
        <v>10979374</v>
      </c>
      <c r="AE8" s="50">
        <f t="shared" si="0"/>
        <v>0</v>
      </c>
      <c r="AF8" s="50">
        <f t="shared" si="0"/>
        <v>0</v>
      </c>
      <c r="AG8" s="50">
        <f t="shared" si="0"/>
        <v>117997368</v>
      </c>
      <c r="AH8" s="50">
        <f t="shared" si="0"/>
        <v>441365</v>
      </c>
      <c r="AI8" s="50">
        <f t="shared" si="0"/>
        <v>54145</v>
      </c>
      <c r="AJ8" s="50">
        <f t="shared" si="0"/>
        <v>79793797</v>
      </c>
      <c r="AK8" s="50">
        <f t="shared" si="0"/>
        <v>10436700</v>
      </c>
      <c r="AL8" s="50"/>
      <c r="AM8" s="50">
        <f t="shared" si="0"/>
        <v>18550702</v>
      </c>
      <c r="AN8" s="50">
        <f t="shared" si="0"/>
        <v>34972589</v>
      </c>
      <c r="AO8" s="50">
        <f t="shared" si="0"/>
        <v>15833806</v>
      </c>
      <c r="AP8" s="51"/>
      <c r="AQ8" s="163">
        <f>C8-I8-AJ8</f>
        <v>0</v>
      </c>
      <c r="AS8" s="27"/>
      <c r="AT8" s="28"/>
    </row>
    <row r="9" spans="1:46" s="199" customFormat="1" ht="15" customHeight="1">
      <c r="A9" s="41">
        <v>1</v>
      </c>
      <c r="B9" s="42" t="s">
        <v>68</v>
      </c>
      <c r="C9" s="193">
        <f>SUM(D9:H9)</f>
        <v>113209523</v>
      </c>
      <c r="D9" s="193">
        <f>11228742-180</f>
        <v>11228562</v>
      </c>
      <c r="E9" s="193"/>
      <c r="F9" s="193">
        <v>5450980</v>
      </c>
      <c r="G9" s="193">
        <v>96328175</v>
      </c>
      <c r="H9" s="193">
        <v>201806</v>
      </c>
      <c r="I9" s="193">
        <f>J9+K9+L9+M9</f>
        <v>100482163</v>
      </c>
      <c r="J9" s="193">
        <v>8631743</v>
      </c>
      <c r="K9" s="193"/>
      <c r="L9" s="255">
        <v>0</v>
      </c>
      <c r="M9" s="193">
        <f>O9+X9+AA9</f>
        <v>91850420</v>
      </c>
      <c r="N9" s="193">
        <f>P9+Y9+AB9</f>
        <v>419499</v>
      </c>
      <c r="O9" s="193">
        <f>R9+S9+U9</f>
        <v>6731993</v>
      </c>
      <c r="P9" s="193">
        <f>T9+V9</f>
        <v>30833</v>
      </c>
      <c r="Q9" s="193">
        <v>14</v>
      </c>
      <c r="R9" s="193">
        <v>673199</v>
      </c>
      <c r="S9" s="193"/>
      <c r="T9" s="193"/>
      <c r="U9" s="193">
        <v>6058794</v>
      </c>
      <c r="V9" s="193">
        <v>30833</v>
      </c>
      <c r="W9" s="193"/>
      <c r="X9" s="193">
        <v>81264685</v>
      </c>
      <c r="Y9" s="193">
        <v>371149</v>
      </c>
      <c r="Z9" s="193">
        <v>37505</v>
      </c>
      <c r="AA9" s="193">
        <f>AD9+AE9+AG9</f>
        <v>3853742</v>
      </c>
      <c r="AB9" s="193">
        <f>AF9+AH9</f>
        <v>17517</v>
      </c>
      <c r="AC9" s="193">
        <v>1</v>
      </c>
      <c r="AD9" s="193">
        <v>385374</v>
      </c>
      <c r="AE9" s="193"/>
      <c r="AF9" s="193"/>
      <c r="AG9" s="193">
        <v>3468368</v>
      </c>
      <c r="AH9" s="193">
        <v>17517</v>
      </c>
      <c r="AI9" s="193"/>
      <c r="AJ9" s="193">
        <f>AK9+AL9+AM9+AN9+AO9</f>
        <v>12727360</v>
      </c>
      <c r="AK9" s="193">
        <f aca="true" t="shared" si="1" ref="AK9:AK40">D9-J9</f>
        <v>2596819</v>
      </c>
      <c r="AL9" s="193">
        <f>E9-K9</f>
        <v>0</v>
      </c>
      <c r="AM9" s="193">
        <f aca="true" t="shared" si="2" ref="AM9:AM40">F9-L9</f>
        <v>5450980</v>
      </c>
      <c r="AN9" s="193">
        <f>G9-M9</f>
        <v>4477755</v>
      </c>
      <c r="AO9" s="193">
        <f>H9</f>
        <v>201806</v>
      </c>
      <c r="AP9" s="256">
        <f>M9/G9</f>
        <v>0.9535156251013787</v>
      </c>
      <c r="AQ9" s="257">
        <f aca="true" t="shared" si="3" ref="AQ9:AQ40">C9-I9-AJ9</f>
        <v>0</v>
      </c>
      <c r="AS9" s="193"/>
      <c r="AT9" s="258"/>
    </row>
    <row r="10" spans="1:46" s="203" customFormat="1" ht="17.25" customHeight="1">
      <c r="A10" s="43">
        <f>A9+1</f>
        <v>2</v>
      </c>
      <c r="B10" s="44" t="s">
        <v>106</v>
      </c>
      <c r="C10" s="200">
        <f>SUM(D10:H10)</f>
        <v>166537000</v>
      </c>
      <c r="D10" s="200">
        <v>3308000</v>
      </c>
      <c r="E10" s="200"/>
      <c r="F10" s="200">
        <v>7545000</v>
      </c>
      <c r="G10" s="200">
        <v>140050000</v>
      </c>
      <c r="H10" s="200">
        <v>15634000</v>
      </c>
      <c r="I10" s="200">
        <f aca="true" t="shared" si="4" ref="I10:I43">J10+K10+L10+M10</f>
        <v>126985602</v>
      </c>
      <c r="J10" s="200">
        <v>1618000</v>
      </c>
      <c r="K10" s="200"/>
      <c r="L10" s="259">
        <v>0</v>
      </c>
      <c r="M10" s="200">
        <f aca="true" t="shared" si="5" ref="M10:N12">O10+X10+AA10</f>
        <v>125367602</v>
      </c>
      <c r="N10" s="200">
        <f>P10+Y10+AB10</f>
        <v>424699</v>
      </c>
      <c r="O10" s="200">
        <f>R10+S10+U10</f>
        <v>146000</v>
      </c>
      <c r="P10" s="200">
        <v>509</v>
      </c>
      <c r="Q10" s="200">
        <v>5</v>
      </c>
      <c r="R10" s="200"/>
      <c r="S10" s="200">
        <v>146000</v>
      </c>
      <c r="T10" s="200">
        <v>109</v>
      </c>
      <c r="U10" s="200"/>
      <c r="V10" s="200"/>
      <c r="W10" s="200"/>
      <c r="X10" s="200">
        <v>98602</v>
      </c>
      <c r="Y10" s="200">
        <v>342</v>
      </c>
      <c r="Z10" s="200">
        <v>165</v>
      </c>
      <c r="AA10" s="200">
        <f aca="true" t="shared" si="6" ref="AA10:AA43">AD10+AE10+AG10</f>
        <v>125123000</v>
      </c>
      <c r="AB10" s="200">
        <f aca="true" t="shared" si="7" ref="AB10:AB43">AF10+AH10</f>
        <v>423848</v>
      </c>
      <c r="AC10" s="200">
        <v>10</v>
      </c>
      <c r="AD10" s="200">
        <v>10594000</v>
      </c>
      <c r="AE10" s="200"/>
      <c r="AF10" s="200"/>
      <c r="AG10" s="200">
        <v>114529000</v>
      </c>
      <c r="AH10" s="200">
        <v>423848</v>
      </c>
      <c r="AI10" s="200">
        <v>54145</v>
      </c>
      <c r="AJ10" s="200">
        <f aca="true" t="shared" si="8" ref="AJ10:AJ43">AK10+AL10+AM10+AN10+AO10</f>
        <v>39551398</v>
      </c>
      <c r="AK10" s="200">
        <f t="shared" si="1"/>
        <v>1690000</v>
      </c>
      <c r="AL10" s="200">
        <f aca="true" t="shared" si="9" ref="AL10:AL43">E10-K10</f>
        <v>0</v>
      </c>
      <c r="AM10" s="200">
        <f t="shared" si="2"/>
        <v>7545000</v>
      </c>
      <c r="AN10" s="200">
        <f>G10-M10</f>
        <v>14682398</v>
      </c>
      <c r="AO10" s="200">
        <f>H10</f>
        <v>15634000</v>
      </c>
      <c r="AP10" s="260">
        <f>M10/G10</f>
        <v>0.8951631702963228</v>
      </c>
      <c r="AQ10" s="257">
        <f t="shared" si="3"/>
        <v>0</v>
      </c>
      <c r="AS10" s="200"/>
      <c r="AT10" s="261"/>
    </row>
    <row r="11" spans="1:46" s="44" customFormat="1" ht="17.25" customHeight="1">
      <c r="A11" s="43">
        <f>A10+1</f>
        <v>3</v>
      </c>
      <c r="B11" s="44" t="s">
        <v>67</v>
      </c>
      <c r="C11" s="204">
        <f>SUM(D11:H11)</f>
        <v>100000000</v>
      </c>
      <c r="D11" s="204">
        <v>10000000</v>
      </c>
      <c r="E11" s="204"/>
      <c r="F11" s="204">
        <v>5000000</v>
      </c>
      <c r="G11" s="204">
        <v>85000000</v>
      </c>
      <c r="H11" s="262">
        <v>0</v>
      </c>
      <c r="I11" s="204">
        <f t="shared" si="4"/>
        <v>73077291</v>
      </c>
      <c r="J11" s="204">
        <v>3864082</v>
      </c>
      <c r="K11" s="204"/>
      <c r="L11" s="262">
        <v>0</v>
      </c>
      <c r="M11" s="204">
        <f t="shared" si="5"/>
        <v>69213209</v>
      </c>
      <c r="N11" s="204">
        <f t="shared" si="5"/>
        <v>167011</v>
      </c>
      <c r="O11" s="204">
        <f aca="true" t="shared" si="10" ref="O11:O39">R11+S11+U11</f>
        <v>10923884</v>
      </c>
      <c r="P11" s="204">
        <f>T11+V11</f>
        <v>31210</v>
      </c>
      <c r="Q11" s="204">
        <v>1</v>
      </c>
      <c r="R11" s="204">
        <f>764672+327717</f>
        <v>1092389</v>
      </c>
      <c r="S11" s="204">
        <f>2752819+1179779</f>
        <v>3932598</v>
      </c>
      <c r="T11" s="204">
        <v>12484</v>
      </c>
      <c r="U11" s="204">
        <f>4129228+1769669</f>
        <v>5898897</v>
      </c>
      <c r="V11" s="204">
        <v>18726</v>
      </c>
      <c r="W11" s="204">
        <v>1425</v>
      </c>
      <c r="X11" s="204">
        <f>5822826+52466499</f>
        <v>58289325</v>
      </c>
      <c r="Y11" s="204">
        <v>135801</v>
      </c>
      <c r="Z11" s="204">
        <v>736</v>
      </c>
      <c r="AA11" s="204">
        <f t="shared" si="6"/>
        <v>0</v>
      </c>
      <c r="AB11" s="204">
        <f t="shared" si="7"/>
        <v>0</v>
      </c>
      <c r="AC11" s="204"/>
      <c r="AD11" s="204"/>
      <c r="AE11" s="204"/>
      <c r="AF11" s="204"/>
      <c r="AG11" s="204"/>
      <c r="AH11" s="204"/>
      <c r="AI11" s="204"/>
      <c r="AJ11" s="200">
        <f t="shared" si="8"/>
        <v>26922709</v>
      </c>
      <c r="AK11" s="204">
        <f t="shared" si="1"/>
        <v>6135918</v>
      </c>
      <c r="AL11" s="204">
        <f t="shared" si="9"/>
        <v>0</v>
      </c>
      <c r="AM11" s="204">
        <f t="shared" si="2"/>
        <v>5000000</v>
      </c>
      <c r="AN11" s="204">
        <f aca="true" t="shared" si="11" ref="AN11:AN37">G11-M11</f>
        <v>15786791</v>
      </c>
      <c r="AO11" s="200">
        <f>H11</f>
        <v>0</v>
      </c>
      <c r="AP11" s="263">
        <f aca="true" t="shared" si="12" ref="AP11:AP37">M11/G11</f>
        <v>0.8142730470588235</v>
      </c>
      <c r="AQ11" s="257">
        <f t="shared" si="3"/>
        <v>0</v>
      </c>
      <c r="AS11" s="204"/>
      <c r="AT11" s="254"/>
    </row>
    <row r="12" spans="1:46" s="227" customFormat="1" ht="15" customHeight="1">
      <c r="A12" s="76">
        <f>A11+1</f>
        <v>4</v>
      </c>
      <c r="B12" s="77" t="s">
        <v>70</v>
      </c>
      <c r="C12" s="204">
        <f>SUM(D12:H12)</f>
        <v>11092432</v>
      </c>
      <c r="D12" s="225">
        <v>1109443</v>
      </c>
      <c r="E12" s="225"/>
      <c r="F12" s="225">
        <f>554722</f>
        <v>554722</v>
      </c>
      <c r="G12" s="225">
        <v>9430267</v>
      </c>
      <c r="H12" s="225">
        <v>-2000</v>
      </c>
      <c r="I12" s="225">
        <f t="shared" si="4"/>
        <v>10500102</v>
      </c>
      <c r="J12" s="225">
        <f>545480+550000</f>
        <v>1095480</v>
      </c>
      <c r="K12" s="225"/>
      <c r="L12" s="264">
        <v>0</v>
      </c>
      <c r="M12" s="225">
        <f t="shared" si="5"/>
        <v>9404622</v>
      </c>
      <c r="N12" s="225">
        <f t="shared" si="5"/>
        <v>73803</v>
      </c>
      <c r="O12" s="225">
        <f t="shared" si="10"/>
        <v>1350077</v>
      </c>
      <c r="P12" s="225">
        <f aca="true" t="shared" si="13" ref="P12:P37">T12+V12</f>
        <v>10259</v>
      </c>
      <c r="Q12" s="225">
        <v>8</v>
      </c>
      <c r="R12" s="225">
        <v>63538</v>
      </c>
      <c r="S12" s="225">
        <v>714694</v>
      </c>
      <c r="T12" s="225">
        <v>5148</v>
      </c>
      <c r="U12" s="225">
        <v>571845</v>
      </c>
      <c r="V12" s="225">
        <v>5111</v>
      </c>
      <c r="W12" s="225">
        <v>163</v>
      </c>
      <c r="X12" s="225">
        <v>8054545</v>
      </c>
      <c r="Y12" s="225">
        <v>63544</v>
      </c>
      <c r="Z12" s="225">
        <v>17585</v>
      </c>
      <c r="AA12" s="225">
        <f t="shared" si="6"/>
        <v>0</v>
      </c>
      <c r="AB12" s="225">
        <f t="shared" si="7"/>
        <v>0</v>
      </c>
      <c r="AC12" s="225"/>
      <c r="AD12" s="225"/>
      <c r="AE12" s="225"/>
      <c r="AF12" s="225"/>
      <c r="AG12" s="225"/>
      <c r="AH12" s="225"/>
      <c r="AI12" s="225"/>
      <c r="AJ12" s="225">
        <f t="shared" si="8"/>
        <v>592330</v>
      </c>
      <c r="AK12" s="225">
        <f t="shared" si="1"/>
        <v>13963</v>
      </c>
      <c r="AL12" s="225">
        <f t="shared" si="9"/>
        <v>0</v>
      </c>
      <c r="AM12" s="225">
        <f t="shared" si="2"/>
        <v>554722</v>
      </c>
      <c r="AN12" s="225">
        <f t="shared" si="11"/>
        <v>25645</v>
      </c>
      <c r="AO12" s="225">
        <f>H12</f>
        <v>-2000</v>
      </c>
      <c r="AP12" s="265">
        <f>M12/G12</f>
        <v>0.9972805648026721</v>
      </c>
      <c r="AQ12" s="257">
        <f t="shared" si="3"/>
        <v>0</v>
      </c>
      <c r="AS12" s="225"/>
      <c r="AT12" s="266"/>
    </row>
    <row r="13" spans="1:46" s="219" customFormat="1" ht="17.25" customHeight="1">
      <c r="A13" s="213" t="s">
        <v>107</v>
      </c>
      <c r="B13" s="214" t="s">
        <v>62</v>
      </c>
      <c r="C13" s="215">
        <f>SUM(C14:C20)</f>
        <v>43299793</v>
      </c>
      <c r="D13" s="215">
        <f aca="true" t="shared" si="14" ref="D13:AP13">SUM(D14:D20)</f>
        <v>4623160.600000001</v>
      </c>
      <c r="E13" s="215">
        <f t="shared" si="14"/>
        <v>0</v>
      </c>
      <c r="F13" s="215">
        <f t="shared" si="14"/>
        <v>2148701.3000000003</v>
      </c>
      <c r="G13" s="215">
        <f t="shared" si="14"/>
        <v>34241929.1</v>
      </c>
      <c r="H13" s="215">
        <f t="shared" si="14"/>
        <v>2286002</v>
      </c>
      <c r="I13" s="215">
        <f t="shared" si="14"/>
        <v>27051779</v>
      </c>
      <c r="J13" s="215">
        <f t="shared" si="14"/>
        <v>3047966</v>
      </c>
      <c r="K13" s="215">
        <f t="shared" si="14"/>
        <v>0</v>
      </c>
      <c r="L13" s="215">
        <f t="shared" si="14"/>
        <v>0</v>
      </c>
      <c r="M13" s="215">
        <f>SUM(M14:M20)</f>
        <v>24003813</v>
      </c>
      <c r="N13" s="215">
        <f t="shared" si="14"/>
        <v>270044</v>
      </c>
      <c r="O13" s="215">
        <f t="shared" si="14"/>
        <v>21488560</v>
      </c>
      <c r="P13" s="215">
        <f t="shared" si="14"/>
        <v>187969</v>
      </c>
      <c r="Q13" s="215">
        <f t="shared" si="14"/>
        <v>22</v>
      </c>
      <c r="R13" s="215">
        <f t="shared" si="14"/>
        <v>1704359</v>
      </c>
      <c r="S13" s="215">
        <f t="shared" si="14"/>
        <v>0</v>
      </c>
      <c r="T13" s="215">
        <f t="shared" si="14"/>
        <v>0</v>
      </c>
      <c r="U13" s="215">
        <f t="shared" si="14"/>
        <v>15339235</v>
      </c>
      <c r="V13" s="215">
        <f t="shared" si="14"/>
        <v>99481</v>
      </c>
      <c r="W13" s="215">
        <f t="shared" si="14"/>
        <v>14829</v>
      </c>
      <c r="X13" s="215">
        <f t="shared" si="14"/>
        <v>768982</v>
      </c>
      <c r="Y13" s="215">
        <f t="shared" si="14"/>
        <v>27399</v>
      </c>
      <c r="Z13" s="215">
        <f t="shared" si="14"/>
        <v>20127</v>
      </c>
      <c r="AA13" s="215">
        <f t="shared" si="14"/>
        <v>1746271</v>
      </c>
      <c r="AB13" s="215">
        <f t="shared" si="14"/>
        <v>54676</v>
      </c>
      <c r="AC13" s="215">
        <f t="shared" si="14"/>
        <v>42</v>
      </c>
      <c r="AD13" s="215">
        <f t="shared" si="14"/>
        <v>133391</v>
      </c>
      <c r="AE13" s="215">
        <f t="shared" si="14"/>
        <v>0</v>
      </c>
      <c r="AF13" s="215">
        <f t="shared" si="14"/>
        <v>0</v>
      </c>
      <c r="AG13" s="215">
        <f t="shared" si="14"/>
        <v>1200517</v>
      </c>
      <c r="AH13" s="215">
        <f t="shared" si="14"/>
        <v>41453</v>
      </c>
      <c r="AI13" s="215">
        <f t="shared" si="14"/>
        <v>2274</v>
      </c>
      <c r="AJ13" s="215">
        <f t="shared" si="14"/>
        <v>16248014</v>
      </c>
      <c r="AK13" s="215">
        <f t="shared" si="14"/>
        <v>1575194.6</v>
      </c>
      <c r="AL13" s="215">
        <f t="shared" si="14"/>
        <v>0</v>
      </c>
      <c r="AM13" s="215">
        <f t="shared" si="14"/>
        <v>2148701.3000000003</v>
      </c>
      <c r="AN13" s="215">
        <f t="shared" si="14"/>
        <v>10238116.099999998</v>
      </c>
      <c r="AO13" s="215">
        <f t="shared" si="14"/>
        <v>2286002</v>
      </c>
      <c r="AP13" s="267">
        <f t="shared" si="14"/>
        <v>1.7559667128159726</v>
      </c>
      <c r="AQ13" s="257">
        <f t="shared" si="3"/>
        <v>0</v>
      </c>
      <c r="AS13" s="215"/>
      <c r="AT13" s="268"/>
    </row>
    <row r="14" spans="1:46" s="199" customFormat="1" ht="17.25" customHeight="1">
      <c r="A14" s="41">
        <v>5</v>
      </c>
      <c r="B14" s="42" t="s">
        <v>71</v>
      </c>
      <c r="C14" s="193">
        <f aca="true" t="shared" si="15" ref="C14:C43">SUM(D14:H14)</f>
        <v>26725382</v>
      </c>
      <c r="D14" s="193">
        <f>26725382*10%</f>
        <v>2672538.2</v>
      </c>
      <c r="E14" s="193"/>
      <c r="F14" s="193">
        <f>D14/2</f>
        <v>1336269.1</v>
      </c>
      <c r="G14" s="193">
        <f>26725382*85%</f>
        <v>22716574.7</v>
      </c>
      <c r="H14" s="193">
        <v>0</v>
      </c>
      <c r="I14" s="193">
        <f t="shared" si="4"/>
        <v>20165717</v>
      </c>
      <c r="J14" s="193">
        <v>1419985</v>
      </c>
      <c r="K14" s="193"/>
      <c r="L14" s="255">
        <v>0</v>
      </c>
      <c r="M14" s="193">
        <f aca="true" t="shared" si="16" ref="M14:N20">O14+X14+AA14</f>
        <v>18745732</v>
      </c>
      <c r="N14" s="193">
        <f t="shared" si="16"/>
        <v>153568</v>
      </c>
      <c r="O14" s="193">
        <f t="shared" si="10"/>
        <v>17043594</v>
      </c>
      <c r="P14" s="193">
        <f t="shared" si="13"/>
        <v>99481</v>
      </c>
      <c r="Q14" s="193">
        <v>10</v>
      </c>
      <c r="R14" s="193">
        <v>1704359</v>
      </c>
      <c r="S14" s="255">
        <v>0</v>
      </c>
      <c r="T14" s="255">
        <v>0</v>
      </c>
      <c r="U14" s="193">
        <v>15339235</v>
      </c>
      <c r="V14" s="193">
        <v>99481</v>
      </c>
      <c r="W14" s="193">
        <v>14829</v>
      </c>
      <c r="X14" s="193">
        <v>368230</v>
      </c>
      <c r="Y14" s="193">
        <v>12634</v>
      </c>
      <c r="Z14" s="193">
        <v>10681</v>
      </c>
      <c r="AA14" s="193">
        <f t="shared" si="6"/>
        <v>1333908</v>
      </c>
      <c r="AB14" s="193">
        <f t="shared" si="7"/>
        <v>41453</v>
      </c>
      <c r="AC14" s="193">
        <v>4</v>
      </c>
      <c r="AD14" s="193">
        <v>133391</v>
      </c>
      <c r="AE14" s="193"/>
      <c r="AF14" s="193"/>
      <c r="AG14" s="193">
        <v>1200517</v>
      </c>
      <c r="AH14" s="193">
        <v>41453</v>
      </c>
      <c r="AI14" s="193">
        <v>2274</v>
      </c>
      <c r="AJ14" s="193">
        <f>AK14+AL14+AM14+AN14+AO14</f>
        <v>6559665</v>
      </c>
      <c r="AK14" s="193">
        <f>D14-J14</f>
        <v>1252553.2000000002</v>
      </c>
      <c r="AL14" s="193">
        <f t="shared" si="9"/>
        <v>0</v>
      </c>
      <c r="AM14" s="193">
        <f t="shared" si="2"/>
        <v>1336269.1</v>
      </c>
      <c r="AN14" s="193">
        <f t="shared" si="11"/>
        <v>3970842.6999999993</v>
      </c>
      <c r="AO14" s="269">
        <f>H14</f>
        <v>0</v>
      </c>
      <c r="AP14" s="256">
        <f t="shared" si="12"/>
        <v>0.8252006408342892</v>
      </c>
      <c r="AQ14" s="257">
        <f>C14-I14-AJ14</f>
        <v>0</v>
      </c>
      <c r="AS14" s="193"/>
      <c r="AT14" s="258"/>
    </row>
    <row r="15" spans="1:46" s="203" customFormat="1" ht="17.25" customHeight="1">
      <c r="A15" s="43">
        <f aca="true" t="shared" si="17" ref="A15:A20">A14+1</f>
        <v>6</v>
      </c>
      <c r="B15" s="44" t="s">
        <v>72</v>
      </c>
      <c r="C15" s="200">
        <f>SUM(D15:H15)</f>
        <v>10567367</v>
      </c>
      <c r="D15" s="200">
        <v>1349918</v>
      </c>
      <c r="E15" s="200"/>
      <c r="F15" s="200">
        <v>512080</v>
      </c>
      <c r="G15" s="200">
        <v>6419367</v>
      </c>
      <c r="H15" s="200">
        <f>10567367-8281365</f>
        <v>2286002</v>
      </c>
      <c r="I15" s="200">
        <f t="shared" si="4"/>
        <v>3820399</v>
      </c>
      <c r="J15" s="200">
        <v>1349187</v>
      </c>
      <c r="K15" s="200"/>
      <c r="L15" s="259">
        <v>0</v>
      </c>
      <c r="M15" s="200">
        <f t="shared" si="16"/>
        <v>2471212</v>
      </c>
      <c r="N15" s="200">
        <f t="shared" si="16"/>
        <v>77633</v>
      </c>
      <c r="O15" s="200">
        <v>1658097</v>
      </c>
      <c r="P15" s="200">
        <v>49645</v>
      </c>
      <c r="Q15" s="200">
        <v>10</v>
      </c>
      <c r="R15" s="259">
        <v>0</v>
      </c>
      <c r="S15" s="200">
        <v>0</v>
      </c>
      <c r="T15" s="200">
        <v>0</v>
      </c>
      <c r="U15" s="259">
        <v>0</v>
      </c>
      <c r="V15" s="259">
        <v>0</v>
      </c>
      <c r="W15" s="259">
        <v>0</v>
      </c>
      <c r="X15" s="200">
        <v>400752</v>
      </c>
      <c r="Y15" s="200">
        <v>14765</v>
      </c>
      <c r="Z15" s="200">
        <v>9446</v>
      </c>
      <c r="AA15" s="200">
        <v>412363</v>
      </c>
      <c r="AB15" s="200">
        <v>13223</v>
      </c>
      <c r="AC15" s="200">
        <v>38</v>
      </c>
      <c r="AD15" s="200"/>
      <c r="AE15" s="200"/>
      <c r="AF15" s="200"/>
      <c r="AG15" s="200"/>
      <c r="AH15" s="200"/>
      <c r="AI15" s="200"/>
      <c r="AJ15" s="200">
        <f t="shared" si="8"/>
        <v>6746968</v>
      </c>
      <c r="AK15" s="200">
        <f t="shared" si="1"/>
        <v>731</v>
      </c>
      <c r="AL15" s="200">
        <f t="shared" si="9"/>
        <v>0</v>
      </c>
      <c r="AM15" s="200">
        <f t="shared" si="2"/>
        <v>512080</v>
      </c>
      <c r="AN15" s="270">
        <f t="shared" si="11"/>
        <v>3948155</v>
      </c>
      <c r="AO15" s="200">
        <f aca="true" t="shared" si="18" ref="AO15:AO20">H15</f>
        <v>2286002</v>
      </c>
      <c r="AP15" s="271">
        <f t="shared" si="12"/>
        <v>0.3849619440670708</v>
      </c>
      <c r="AQ15" s="257">
        <f t="shared" si="3"/>
        <v>0</v>
      </c>
      <c r="AS15" s="200"/>
      <c r="AT15" s="261"/>
    </row>
    <row r="16" spans="1:46" s="203" customFormat="1" ht="17.25" customHeight="1">
      <c r="A16" s="43">
        <f t="shared" si="17"/>
        <v>7</v>
      </c>
      <c r="B16" s="44" t="s">
        <v>108</v>
      </c>
      <c r="C16" s="200">
        <f t="shared" si="15"/>
        <v>6007044</v>
      </c>
      <c r="D16" s="200">
        <f>6007044*10%</f>
        <v>600704.4</v>
      </c>
      <c r="E16" s="200"/>
      <c r="F16" s="200">
        <f>D16/2</f>
        <v>300352.2</v>
      </c>
      <c r="G16" s="200">
        <f>6007044*85%</f>
        <v>5105987.399999999</v>
      </c>
      <c r="H16" s="259">
        <v>0</v>
      </c>
      <c r="I16" s="200">
        <f t="shared" si="4"/>
        <v>3065663</v>
      </c>
      <c r="J16" s="200">
        <v>278794</v>
      </c>
      <c r="K16" s="200"/>
      <c r="L16" s="259">
        <v>0</v>
      </c>
      <c r="M16" s="200">
        <f t="shared" si="16"/>
        <v>2786869</v>
      </c>
      <c r="N16" s="200">
        <f t="shared" si="16"/>
        <v>38843</v>
      </c>
      <c r="O16" s="200">
        <v>2786869</v>
      </c>
      <c r="P16" s="200">
        <v>38843</v>
      </c>
      <c r="Q16" s="200">
        <v>2</v>
      </c>
      <c r="R16" s="259">
        <v>0</v>
      </c>
      <c r="S16" s="200">
        <v>0</v>
      </c>
      <c r="T16" s="200">
        <v>0</v>
      </c>
      <c r="U16" s="259">
        <v>0</v>
      </c>
      <c r="V16" s="259">
        <v>0</v>
      </c>
      <c r="W16" s="259">
        <v>0</v>
      </c>
      <c r="X16" s="200">
        <v>0</v>
      </c>
      <c r="Y16" s="200">
        <v>0</v>
      </c>
      <c r="Z16" s="200">
        <v>0</v>
      </c>
      <c r="AA16" s="200">
        <f t="shared" si="6"/>
        <v>0</v>
      </c>
      <c r="AB16" s="200">
        <f t="shared" si="7"/>
        <v>0</v>
      </c>
      <c r="AC16" s="200">
        <v>0</v>
      </c>
      <c r="AD16" s="200"/>
      <c r="AE16" s="200"/>
      <c r="AF16" s="200"/>
      <c r="AG16" s="200"/>
      <c r="AH16" s="200"/>
      <c r="AI16" s="200"/>
      <c r="AJ16" s="200">
        <f t="shared" si="8"/>
        <v>2941380.9999999995</v>
      </c>
      <c r="AK16" s="200">
        <f t="shared" si="1"/>
        <v>321910.4</v>
      </c>
      <c r="AL16" s="200">
        <f t="shared" si="9"/>
        <v>0</v>
      </c>
      <c r="AM16" s="200">
        <f t="shared" si="2"/>
        <v>300352.2</v>
      </c>
      <c r="AN16" s="200">
        <f t="shared" si="11"/>
        <v>2319118.3999999994</v>
      </c>
      <c r="AO16" s="222">
        <f t="shared" si="18"/>
        <v>0</v>
      </c>
      <c r="AP16" s="260">
        <f t="shared" si="12"/>
        <v>0.5458041279146126</v>
      </c>
      <c r="AQ16" s="257">
        <f t="shared" si="3"/>
        <v>0</v>
      </c>
      <c r="AS16" s="200"/>
      <c r="AT16" s="261"/>
    </row>
    <row r="17" spans="1:46" s="203" customFormat="1" ht="17.25" customHeight="1">
      <c r="A17" s="43">
        <f t="shared" si="17"/>
        <v>8</v>
      </c>
      <c r="B17" s="44" t="s">
        <v>73</v>
      </c>
      <c r="C17" s="200">
        <f t="shared" si="15"/>
        <v>0</v>
      </c>
      <c r="D17" s="200"/>
      <c r="E17" s="200"/>
      <c r="F17" s="200"/>
      <c r="G17" s="200"/>
      <c r="H17" s="200"/>
      <c r="I17" s="200">
        <f t="shared" si="4"/>
        <v>0</v>
      </c>
      <c r="J17" s="200"/>
      <c r="K17" s="200"/>
      <c r="L17" s="259"/>
      <c r="M17" s="200">
        <f t="shared" si="16"/>
        <v>0</v>
      </c>
      <c r="N17" s="200">
        <f t="shared" si="16"/>
        <v>0</v>
      </c>
      <c r="O17" s="200">
        <f t="shared" si="10"/>
        <v>0</v>
      </c>
      <c r="P17" s="200">
        <f t="shared" si="13"/>
        <v>0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>
        <f t="shared" si="6"/>
        <v>0</v>
      </c>
      <c r="AB17" s="200">
        <f t="shared" si="7"/>
        <v>0</v>
      </c>
      <c r="AC17" s="200"/>
      <c r="AD17" s="200"/>
      <c r="AE17" s="200"/>
      <c r="AF17" s="200"/>
      <c r="AG17" s="200"/>
      <c r="AH17" s="200"/>
      <c r="AI17" s="200"/>
      <c r="AJ17" s="200">
        <f t="shared" si="8"/>
        <v>0</v>
      </c>
      <c r="AK17" s="200">
        <f t="shared" si="1"/>
        <v>0</v>
      </c>
      <c r="AL17" s="200">
        <f t="shared" si="9"/>
        <v>0</v>
      </c>
      <c r="AM17" s="200">
        <f t="shared" si="2"/>
        <v>0</v>
      </c>
      <c r="AN17" s="200">
        <f t="shared" si="11"/>
        <v>0</v>
      </c>
      <c r="AO17" s="200">
        <f t="shared" si="18"/>
        <v>0</v>
      </c>
      <c r="AP17" s="260"/>
      <c r="AQ17" s="257">
        <f t="shared" si="3"/>
        <v>0</v>
      </c>
      <c r="AS17" s="200"/>
      <c r="AT17" s="261"/>
    </row>
    <row r="18" spans="1:46" s="203" customFormat="1" ht="17.25" customHeight="1">
      <c r="A18" s="43">
        <f t="shared" si="17"/>
        <v>9</v>
      </c>
      <c r="B18" s="44" t="s">
        <v>75</v>
      </c>
      <c r="C18" s="200">
        <f t="shared" si="15"/>
        <v>0</v>
      </c>
      <c r="D18" s="200"/>
      <c r="E18" s="200"/>
      <c r="F18" s="200"/>
      <c r="G18" s="200"/>
      <c r="H18" s="200"/>
      <c r="I18" s="200">
        <f t="shared" si="4"/>
        <v>0</v>
      </c>
      <c r="J18" s="200"/>
      <c r="K18" s="200"/>
      <c r="L18" s="259"/>
      <c r="M18" s="200">
        <f t="shared" si="16"/>
        <v>0</v>
      </c>
      <c r="N18" s="200">
        <f t="shared" si="16"/>
        <v>0</v>
      </c>
      <c r="O18" s="200">
        <f t="shared" si="10"/>
        <v>0</v>
      </c>
      <c r="P18" s="200">
        <f t="shared" si="13"/>
        <v>0</v>
      </c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>
        <f t="shared" si="6"/>
        <v>0</v>
      </c>
      <c r="AB18" s="200">
        <f t="shared" si="7"/>
        <v>0</v>
      </c>
      <c r="AC18" s="200"/>
      <c r="AD18" s="200"/>
      <c r="AE18" s="200"/>
      <c r="AF18" s="200"/>
      <c r="AG18" s="200"/>
      <c r="AH18" s="200"/>
      <c r="AI18" s="200"/>
      <c r="AJ18" s="200">
        <f t="shared" si="8"/>
        <v>0</v>
      </c>
      <c r="AK18" s="200">
        <f t="shared" si="1"/>
        <v>0</v>
      </c>
      <c r="AL18" s="200">
        <f t="shared" si="9"/>
        <v>0</v>
      </c>
      <c r="AM18" s="200">
        <f t="shared" si="2"/>
        <v>0</v>
      </c>
      <c r="AN18" s="200">
        <f t="shared" si="11"/>
        <v>0</v>
      </c>
      <c r="AO18" s="200">
        <f t="shared" si="18"/>
        <v>0</v>
      </c>
      <c r="AP18" s="260"/>
      <c r="AQ18" s="257">
        <f t="shared" si="3"/>
        <v>0</v>
      </c>
      <c r="AS18" s="200"/>
      <c r="AT18" s="261"/>
    </row>
    <row r="19" spans="1:46" s="203" customFormat="1" ht="17.25" customHeight="1">
      <c r="A19" s="43">
        <f t="shared" si="17"/>
        <v>10</v>
      </c>
      <c r="B19" s="44" t="s">
        <v>109</v>
      </c>
      <c r="C19" s="200">
        <f t="shared" si="15"/>
        <v>0</v>
      </c>
      <c r="D19" s="200"/>
      <c r="E19" s="200"/>
      <c r="F19" s="200"/>
      <c r="G19" s="200"/>
      <c r="H19" s="200"/>
      <c r="I19" s="200">
        <f t="shared" si="4"/>
        <v>0</v>
      </c>
      <c r="J19" s="200"/>
      <c r="K19" s="200"/>
      <c r="L19" s="259"/>
      <c r="M19" s="200">
        <f t="shared" si="16"/>
        <v>0</v>
      </c>
      <c r="N19" s="200">
        <f t="shared" si="16"/>
        <v>0</v>
      </c>
      <c r="O19" s="200">
        <f t="shared" si="10"/>
        <v>0</v>
      </c>
      <c r="P19" s="200">
        <f t="shared" si="13"/>
        <v>0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>
        <f t="shared" si="6"/>
        <v>0</v>
      </c>
      <c r="AB19" s="200">
        <f t="shared" si="7"/>
        <v>0</v>
      </c>
      <c r="AC19" s="200"/>
      <c r="AD19" s="200"/>
      <c r="AE19" s="200"/>
      <c r="AF19" s="200"/>
      <c r="AG19" s="200"/>
      <c r="AH19" s="200"/>
      <c r="AI19" s="200"/>
      <c r="AJ19" s="200">
        <f t="shared" si="8"/>
        <v>0</v>
      </c>
      <c r="AK19" s="200">
        <f t="shared" si="1"/>
        <v>0</v>
      </c>
      <c r="AL19" s="200">
        <f t="shared" si="9"/>
        <v>0</v>
      </c>
      <c r="AM19" s="200">
        <f t="shared" si="2"/>
        <v>0</v>
      </c>
      <c r="AN19" s="200"/>
      <c r="AO19" s="200">
        <f t="shared" si="18"/>
        <v>0</v>
      </c>
      <c r="AP19" s="260"/>
      <c r="AQ19" s="257">
        <f t="shared" si="3"/>
        <v>0</v>
      </c>
      <c r="AS19" s="200"/>
      <c r="AT19" s="261"/>
    </row>
    <row r="20" spans="1:46" s="227" customFormat="1" ht="17.25" customHeight="1">
      <c r="A20" s="76">
        <f t="shared" si="17"/>
        <v>11</v>
      </c>
      <c r="B20" s="77" t="s">
        <v>77</v>
      </c>
      <c r="C20" s="225">
        <f t="shared" si="15"/>
        <v>0</v>
      </c>
      <c r="D20" s="225"/>
      <c r="E20" s="225"/>
      <c r="F20" s="225"/>
      <c r="G20" s="225"/>
      <c r="H20" s="225"/>
      <c r="I20" s="225">
        <f t="shared" si="4"/>
        <v>0</v>
      </c>
      <c r="J20" s="225"/>
      <c r="K20" s="225"/>
      <c r="L20" s="264"/>
      <c r="M20" s="225">
        <f t="shared" si="16"/>
        <v>0</v>
      </c>
      <c r="N20" s="225">
        <f t="shared" si="16"/>
        <v>0</v>
      </c>
      <c r="O20" s="225">
        <f t="shared" si="10"/>
        <v>0</v>
      </c>
      <c r="P20" s="225">
        <f t="shared" si="13"/>
        <v>0</v>
      </c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>
        <f t="shared" si="6"/>
        <v>0</v>
      </c>
      <c r="AB20" s="225">
        <f t="shared" si="7"/>
        <v>0</v>
      </c>
      <c r="AC20" s="225"/>
      <c r="AD20" s="225"/>
      <c r="AE20" s="225"/>
      <c r="AF20" s="225"/>
      <c r="AG20" s="225"/>
      <c r="AH20" s="225"/>
      <c r="AI20" s="225"/>
      <c r="AJ20" s="225">
        <f t="shared" si="8"/>
        <v>0</v>
      </c>
      <c r="AK20" s="225">
        <f t="shared" si="1"/>
        <v>0</v>
      </c>
      <c r="AL20" s="225">
        <f t="shared" si="9"/>
        <v>0</v>
      </c>
      <c r="AM20" s="225">
        <f t="shared" si="2"/>
        <v>0</v>
      </c>
      <c r="AN20" s="225">
        <f t="shared" si="11"/>
        <v>0</v>
      </c>
      <c r="AO20" s="225">
        <f t="shared" si="18"/>
        <v>0</v>
      </c>
      <c r="AP20" s="272"/>
      <c r="AQ20" s="257">
        <f t="shared" si="3"/>
        <v>0</v>
      </c>
      <c r="AS20" s="225"/>
      <c r="AT20" s="266"/>
    </row>
    <row r="21" spans="1:46" s="219" customFormat="1" ht="17.25" customHeight="1">
      <c r="A21" s="213" t="s">
        <v>110</v>
      </c>
      <c r="B21" s="214" t="s">
        <v>63</v>
      </c>
      <c r="C21" s="215">
        <f>SUM(C22:C26)</f>
        <v>44075147</v>
      </c>
      <c r="D21" s="215">
        <f aca="true" t="shared" si="19" ref="D21:AP21">SUM(D22:D26)</f>
        <v>4407514.7</v>
      </c>
      <c r="E21" s="215">
        <f t="shared" si="19"/>
        <v>0</v>
      </c>
      <c r="F21" s="215">
        <f t="shared" si="19"/>
        <v>2203757.35</v>
      </c>
      <c r="G21" s="215">
        <f t="shared" si="19"/>
        <v>37463874.949999996</v>
      </c>
      <c r="H21" s="215">
        <f t="shared" si="19"/>
        <v>0</v>
      </c>
      <c r="I21" s="215">
        <f t="shared" si="19"/>
        <v>10679045</v>
      </c>
      <c r="J21" s="215">
        <f t="shared" si="19"/>
        <v>1424052</v>
      </c>
      <c r="K21" s="215">
        <f t="shared" si="19"/>
        <v>0</v>
      </c>
      <c r="L21" s="215">
        <f t="shared" si="19"/>
        <v>0</v>
      </c>
      <c r="M21" s="215">
        <f>SUM(M22:M26)</f>
        <v>9254993</v>
      </c>
      <c r="N21" s="215">
        <f t="shared" si="19"/>
        <v>48155</v>
      </c>
      <c r="O21" s="215">
        <f t="shared" si="19"/>
        <v>9254993</v>
      </c>
      <c r="P21" s="215">
        <f t="shared" si="19"/>
        <v>48155</v>
      </c>
      <c r="Q21" s="215">
        <f t="shared" si="19"/>
        <v>3</v>
      </c>
      <c r="R21" s="215">
        <f t="shared" si="19"/>
        <v>1385399</v>
      </c>
      <c r="S21" s="215">
        <f t="shared" si="19"/>
        <v>0</v>
      </c>
      <c r="T21" s="215">
        <f t="shared" si="19"/>
        <v>0</v>
      </c>
      <c r="U21" s="215">
        <f t="shared" si="19"/>
        <v>7869594</v>
      </c>
      <c r="V21" s="215">
        <f t="shared" si="19"/>
        <v>48155</v>
      </c>
      <c r="W21" s="215">
        <f t="shared" si="19"/>
        <v>870</v>
      </c>
      <c r="X21" s="215">
        <f t="shared" si="19"/>
        <v>0</v>
      </c>
      <c r="Y21" s="215">
        <f t="shared" si="19"/>
        <v>0</v>
      </c>
      <c r="Z21" s="215">
        <f t="shared" si="19"/>
        <v>0</v>
      </c>
      <c r="AA21" s="215">
        <f t="shared" si="19"/>
        <v>0</v>
      </c>
      <c r="AB21" s="215">
        <f t="shared" si="19"/>
        <v>0</v>
      </c>
      <c r="AC21" s="215">
        <f t="shared" si="19"/>
        <v>0</v>
      </c>
      <c r="AD21" s="215">
        <f t="shared" si="19"/>
        <v>0</v>
      </c>
      <c r="AE21" s="215">
        <f t="shared" si="19"/>
        <v>0</v>
      </c>
      <c r="AF21" s="215">
        <f t="shared" si="19"/>
        <v>0</v>
      </c>
      <c r="AG21" s="215">
        <f t="shared" si="19"/>
        <v>0</v>
      </c>
      <c r="AH21" s="215">
        <f t="shared" si="19"/>
        <v>0</v>
      </c>
      <c r="AI21" s="215">
        <f t="shared" si="19"/>
        <v>0</v>
      </c>
      <c r="AJ21" s="215">
        <f t="shared" si="19"/>
        <v>33396102</v>
      </c>
      <c r="AK21" s="215">
        <f t="shared" si="19"/>
        <v>2983462.7</v>
      </c>
      <c r="AL21" s="215">
        <f t="shared" si="19"/>
        <v>0</v>
      </c>
      <c r="AM21" s="215">
        <f t="shared" si="19"/>
        <v>2203757.35</v>
      </c>
      <c r="AN21" s="215">
        <f t="shared" si="19"/>
        <v>28208881.95</v>
      </c>
      <c r="AO21" s="215">
        <f t="shared" si="19"/>
        <v>0</v>
      </c>
      <c r="AP21" s="215" t="e">
        <f t="shared" si="19"/>
        <v>#DIV/0!</v>
      </c>
      <c r="AQ21" s="257">
        <f t="shared" si="3"/>
        <v>0</v>
      </c>
      <c r="AS21" s="215"/>
      <c r="AT21" s="268"/>
    </row>
    <row r="22" spans="1:46" s="199" customFormat="1" ht="17.25" customHeight="1">
      <c r="A22" s="41">
        <v>12</v>
      </c>
      <c r="B22" s="42" t="s">
        <v>78</v>
      </c>
      <c r="C22" s="193">
        <v>0</v>
      </c>
      <c r="D22" s="193"/>
      <c r="E22" s="193"/>
      <c r="F22" s="193"/>
      <c r="G22" s="193"/>
      <c r="H22" s="193"/>
      <c r="I22" s="193">
        <f t="shared" si="4"/>
        <v>0</v>
      </c>
      <c r="J22" s="193"/>
      <c r="K22" s="193"/>
      <c r="L22" s="193"/>
      <c r="M22" s="193">
        <f aca="true" t="shared" si="20" ref="M22:N26">O22+X22+AA22</f>
        <v>0</v>
      </c>
      <c r="N22" s="193">
        <f t="shared" si="20"/>
        <v>0</v>
      </c>
      <c r="O22" s="193">
        <f t="shared" si="10"/>
        <v>0</v>
      </c>
      <c r="P22" s="193">
        <f t="shared" si="13"/>
        <v>0</v>
      </c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>
        <f t="shared" si="6"/>
        <v>0</v>
      </c>
      <c r="AB22" s="193">
        <f t="shared" si="7"/>
        <v>0</v>
      </c>
      <c r="AC22" s="193"/>
      <c r="AD22" s="193"/>
      <c r="AE22" s="193"/>
      <c r="AF22" s="193"/>
      <c r="AG22" s="193"/>
      <c r="AH22" s="193"/>
      <c r="AI22" s="193"/>
      <c r="AJ22" s="193">
        <f t="shared" si="8"/>
        <v>0</v>
      </c>
      <c r="AK22" s="193">
        <f t="shared" si="1"/>
        <v>0</v>
      </c>
      <c r="AL22" s="193">
        <f t="shared" si="9"/>
        <v>0</v>
      </c>
      <c r="AM22" s="193">
        <f t="shared" si="2"/>
        <v>0</v>
      </c>
      <c r="AN22" s="193">
        <f t="shared" si="11"/>
        <v>0</v>
      </c>
      <c r="AO22" s="193"/>
      <c r="AP22" s="256" t="e">
        <f t="shared" si="12"/>
        <v>#DIV/0!</v>
      </c>
      <c r="AQ22" s="257">
        <f t="shared" si="3"/>
        <v>0</v>
      </c>
      <c r="AS22" s="193"/>
      <c r="AT22" s="258"/>
    </row>
    <row r="23" spans="1:46" s="203" customFormat="1" ht="17.25" customHeight="1">
      <c r="A23" s="43">
        <v>13</v>
      </c>
      <c r="B23" s="44" t="s">
        <v>79</v>
      </c>
      <c r="C23" s="200">
        <f t="shared" si="15"/>
        <v>43280599</v>
      </c>
      <c r="D23" s="200">
        <f>43280599*10%</f>
        <v>4328059.9</v>
      </c>
      <c r="E23" s="200"/>
      <c r="F23" s="200">
        <f>D23/2</f>
        <v>2164029.95</v>
      </c>
      <c r="G23" s="200">
        <f>43280599*85%</f>
        <v>36788509.15</v>
      </c>
      <c r="H23" s="200"/>
      <c r="I23" s="200">
        <f t="shared" si="4"/>
        <v>10679045</v>
      </c>
      <c r="J23" s="200">
        <v>1424052</v>
      </c>
      <c r="K23" s="200"/>
      <c r="L23" s="200"/>
      <c r="M23" s="200">
        <f t="shared" si="20"/>
        <v>9254993</v>
      </c>
      <c r="N23" s="200">
        <f t="shared" si="20"/>
        <v>48155</v>
      </c>
      <c r="O23" s="200">
        <f t="shared" si="10"/>
        <v>9254993</v>
      </c>
      <c r="P23" s="200">
        <f t="shared" si="13"/>
        <v>48155</v>
      </c>
      <c r="Q23" s="200">
        <v>3</v>
      </c>
      <c r="R23" s="200">
        <v>1385399</v>
      </c>
      <c r="S23" s="200"/>
      <c r="T23" s="200"/>
      <c r="U23" s="200">
        <v>7869594</v>
      </c>
      <c r="V23" s="200">
        <v>48155</v>
      </c>
      <c r="W23" s="200">
        <v>870</v>
      </c>
      <c r="X23" s="200"/>
      <c r="Y23" s="200"/>
      <c r="Z23" s="200"/>
      <c r="AA23" s="200">
        <f t="shared" si="6"/>
        <v>0</v>
      </c>
      <c r="AB23" s="200">
        <f t="shared" si="7"/>
        <v>0</v>
      </c>
      <c r="AC23" s="200"/>
      <c r="AD23" s="200"/>
      <c r="AE23" s="200"/>
      <c r="AF23" s="200"/>
      <c r="AG23" s="200"/>
      <c r="AH23" s="200"/>
      <c r="AI23" s="200"/>
      <c r="AJ23" s="200">
        <f t="shared" si="8"/>
        <v>32601554</v>
      </c>
      <c r="AK23" s="200">
        <f t="shared" si="1"/>
        <v>2904007.9000000004</v>
      </c>
      <c r="AL23" s="200">
        <f t="shared" si="9"/>
        <v>0</v>
      </c>
      <c r="AM23" s="200">
        <f t="shared" si="2"/>
        <v>2164029.95</v>
      </c>
      <c r="AN23" s="200">
        <f t="shared" si="11"/>
        <v>27533516.15</v>
      </c>
      <c r="AO23" s="200">
        <f>H23</f>
        <v>0</v>
      </c>
      <c r="AP23" s="260">
        <f t="shared" si="12"/>
        <v>0.25157292898888783</v>
      </c>
      <c r="AQ23" s="257">
        <f t="shared" si="3"/>
        <v>0</v>
      </c>
      <c r="AS23" s="200"/>
      <c r="AT23" s="261"/>
    </row>
    <row r="24" spans="1:46" s="203" customFormat="1" ht="17.25" customHeight="1">
      <c r="A24" s="43">
        <f>A23+1</f>
        <v>14</v>
      </c>
      <c r="B24" s="44" t="s">
        <v>111</v>
      </c>
      <c r="C24" s="210">
        <f t="shared" si="15"/>
        <v>0</v>
      </c>
      <c r="D24" s="200"/>
      <c r="E24" s="200"/>
      <c r="F24" s="200"/>
      <c r="G24" s="200"/>
      <c r="H24" s="200"/>
      <c r="I24" s="200">
        <f t="shared" si="4"/>
        <v>0</v>
      </c>
      <c r="J24" s="200"/>
      <c r="K24" s="200"/>
      <c r="L24" s="200"/>
      <c r="M24" s="200">
        <f t="shared" si="20"/>
        <v>0</v>
      </c>
      <c r="N24" s="200">
        <f t="shared" si="20"/>
        <v>0</v>
      </c>
      <c r="O24" s="200">
        <f t="shared" si="10"/>
        <v>0</v>
      </c>
      <c r="P24" s="200">
        <f t="shared" si="13"/>
        <v>0</v>
      </c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>
        <f t="shared" si="6"/>
        <v>0</v>
      </c>
      <c r="AB24" s="200">
        <f t="shared" si="7"/>
        <v>0</v>
      </c>
      <c r="AC24" s="200"/>
      <c r="AD24" s="200"/>
      <c r="AE24" s="200"/>
      <c r="AF24" s="200"/>
      <c r="AG24" s="200"/>
      <c r="AH24" s="200"/>
      <c r="AI24" s="200"/>
      <c r="AJ24" s="200">
        <f t="shared" si="8"/>
        <v>0</v>
      </c>
      <c r="AK24" s="200">
        <f t="shared" si="1"/>
        <v>0</v>
      </c>
      <c r="AL24" s="200">
        <f t="shared" si="9"/>
        <v>0</v>
      </c>
      <c r="AM24" s="200">
        <f t="shared" si="2"/>
        <v>0</v>
      </c>
      <c r="AN24" s="200">
        <f t="shared" si="11"/>
        <v>0</v>
      </c>
      <c r="AO24" s="200">
        <f aca="true" t="shared" si="21" ref="AO24:AO43">H24</f>
        <v>0</v>
      </c>
      <c r="AP24" s="260" t="e">
        <f t="shared" si="12"/>
        <v>#DIV/0!</v>
      </c>
      <c r="AQ24" s="257">
        <f t="shared" si="3"/>
        <v>0</v>
      </c>
      <c r="AS24" s="200"/>
      <c r="AT24" s="261"/>
    </row>
    <row r="25" spans="1:46" s="203" customFormat="1" ht="17.25" customHeight="1">
      <c r="A25" s="43">
        <f>A24+1</f>
        <v>15</v>
      </c>
      <c r="B25" s="44" t="s">
        <v>112</v>
      </c>
      <c r="C25" s="200">
        <v>0</v>
      </c>
      <c r="D25" s="200">
        <v>0</v>
      </c>
      <c r="E25" s="200"/>
      <c r="F25" s="200">
        <v>0</v>
      </c>
      <c r="G25" s="200">
        <v>0</v>
      </c>
      <c r="H25" s="200"/>
      <c r="I25" s="200">
        <f t="shared" si="4"/>
        <v>0</v>
      </c>
      <c r="J25" s="200"/>
      <c r="K25" s="200"/>
      <c r="L25" s="200"/>
      <c r="M25" s="200">
        <f t="shared" si="20"/>
        <v>0</v>
      </c>
      <c r="N25" s="200">
        <f t="shared" si="20"/>
        <v>0</v>
      </c>
      <c r="O25" s="200">
        <f t="shared" si="10"/>
        <v>0</v>
      </c>
      <c r="P25" s="200">
        <f t="shared" si="13"/>
        <v>0</v>
      </c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>
        <f t="shared" si="6"/>
        <v>0</v>
      </c>
      <c r="AB25" s="200">
        <f t="shared" si="7"/>
        <v>0</v>
      </c>
      <c r="AC25" s="200"/>
      <c r="AD25" s="200"/>
      <c r="AE25" s="200"/>
      <c r="AF25" s="200"/>
      <c r="AG25" s="200"/>
      <c r="AH25" s="200"/>
      <c r="AI25" s="200"/>
      <c r="AJ25" s="200">
        <f t="shared" si="8"/>
        <v>0</v>
      </c>
      <c r="AK25" s="200">
        <f t="shared" si="1"/>
        <v>0</v>
      </c>
      <c r="AL25" s="200">
        <f t="shared" si="9"/>
        <v>0</v>
      </c>
      <c r="AM25" s="200">
        <f t="shared" si="2"/>
        <v>0</v>
      </c>
      <c r="AN25" s="200">
        <f t="shared" si="11"/>
        <v>0</v>
      </c>
      <c r="AO25" s="200">
        <f t="shared" si="21"/>
        <v>0</v>
      </c>
      <c r="AP25" s="260" t="e">
        <f t="shared" si="12"/>
        <v>#DIV/0!</v>
      </c>
      <c r="AQ25" s="257">
        <f t="shared" si="3"/>
        <v>0</v>
      </c>
      <c r="AS25" s="200"/>
      <c r="AT25" s="261"/>
    </row>
    <row r="26" spans="1:46" s="227" customFormat="1" ht="17.25" customHeight="1">
      <c r="A26" s="76">
        <f>A25+1</f>
        <v>16</v>
      </c>
      <c r="B26" s="77" t="s">
        <v>81</v>
      </c>
      <c r="C26" s="225">
        <f t="shared" si="15"/>
        <v>794548</v>
      </c>
      <c r="D26" s="225">
        <f>794548*10%</f>
        <v>79454.8</v>
      </c>
      <c r="E26" s="225"/>
      <c r="F26" s="225">
        <f>D26/2</f>
        <v>39727.4</v>
      </c>
      <c r="G26" s="225">
        <f>794548*85%</f>
        <v>675365.7999999999</v>
      </c>
      <c r="H26" s="225"/>
      <c r="I26" s="225">
        <f t="shared" si="4"/>
        <v>0</v>
      </c>
      <c r="J26" s="225"/>
      <c r="K26" s="225"/>
      <c r="L26" s="225"/>
      <c r="M26" s="225">
        <f t="shared" si="20"/>
        <v>0</v>
      </c>
      <c r="N26" s="225">
        <f t="shared" si="20"/>
        <v>0</v>
      </c>
      <c r="O26" s="225">
        <f t="shared" si="10"/>
        <v>0</v>
      </c>
      <c r="P26" s="225">
        <f t="shared" si="13"/>
        <v>0</v>
      </c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>
        <f t="shared" si="6"/>
        <v>0</v>
      </c>
      <c r="AB26" s="225">
        <f t="shared" si="7"/>
        <v>0</v>
      </c>
      <c r="AC26" s="225"/>
      <c r="AD26" s="225"/>
      <c r="AE26" s="225"/>
      <c r="AF26" s="225"/>
      <c r="AG26" s="225"/>
      <c r="AH26" s="225"/>
      <c r="AI26" s="225"/>
      <c r="AJ26" s="225">
        <f t="shared" si="8"/>
        <v>794548</v>
      </c>
      <c r="AK26" s="225">
        <f t="shared" si="1"/>
        <v>79454.8</v>
      </c>
      <c r="AL26" s="225">
        <f t="shared" si="9"/>
        <v>0</v>
      </c>
      <c r="AM26" s="225">
        <f t="shared" si="2"/>
        <v>39727.4</v>
      </c>
      <c r="AN26" s="225">
        <f t="shared" si="11"/>
        <v>675365.7999999999</v>
      </c>
      <c r="AO26" s="225">
        <f t="shared" si="21"/>
        <v>0</v>
      </c>
      <c r="AP26" s="272">
        <f t="shared" si="12"/>
        <v>0</v>
      </c>
      <c r="AQ26" s="257">
        <f t="shared" si="3"/>
        <v>0</v>
      </c>
      <c r="AS26" s="225"/>
      <c r="AT26" s="266"/>
    </row>
    <row r="27" spans="1:46" s="219" customFormat="1" ht="17.25" customHeight="1">
      <c r="A27" s="213" t="s">
        <v>113</v>
      </c>
      <c r="B27" s="214" t="s">
        <v>64</v>
      </c>
      <c r="C27" s="215">
        <f t="shared" si="15"/>
        <v>69140968</v>
      </c>
      <c r="D27" s="215">
        <f aca="true" t="shared" si="22" ref="D27:AN27">SUM(D28:D34)</f>
        <v>6914097</v>
      </c>
      <c r="E27" s="215"/>
      <c r="F27" s="215">
        <f t="shared" si="22"/>
        <v>2059687</v>
      </c>
      <c r="G27" s="215">
        <f t="shared" si="22"/>
        <v>60167184</v>
      </c>
      <c r="H27" s="215">
        <f t="shared" si="22"/>
        <v>0</v>
      </c>
      <c r="I27" s="215">
        <f t="shared" si="4"/>
        <v>6668683</v>
      </c>
      <c r="J27" s="215">
        <f t="shared" si="22"/>
        <v>5901409</v>
      </c>
      <c r="K27" s="215"/>
      <c r="L27" s="215">
        <f t="shared" si="22"/>
        <v>0</v>
      </c>
      <c r="M27" s="215">
        <f>SUM(M28:M34)</f>
        <v>767274</v>
      </c>
      <c r="N27" s="215">
        <f t="shared" si="22"/>
        <v>2521</v>
      </c>
      <c r="O27" s="215">
        <f t="shared" si="22"/>
        <v>767274</v>
      </c>
      <c r="P27" s="215">
        <f t="shared" si="22"/>
        <v>2521</v>
      </c>
      <c r="Q27" s="215">
        <f t="shared" si="22"/>
        <v>1</v>
      </c>
      <c r="R27" s="215">
        <f t="shared" si="22"/>
        <v>76727</v>
      </c>
      <c r="S27" s="215">
        <f t="shared" si="22"/>
        <v>76036</v>
      </c>
      <c r="T27" s="215">
        <f t="shared" si="22"/>
        <v>278</v>
      </c>
      <c r="U27" s="215">
        <f t="shared" si="22"/>
        <v>614511</v>
      </c>
      <c r="V27" s="215">
        <f t="shared" si="22"/>
        <v>2243</v>
      </c>
      <c r="W27" s="215">
        <f t="shared" si="22"/>
        <v>111</v>
      </c>
      <c r="X27" s="215">
        <f t="shared" si="22"/>
        <v>0</v>
      </c>
      <c r="Y27" s="215">
        <f t="shared" si="22"/>
        <v>0</v>
      </c>
      <c r="Z27" s="215">
        <f t="shared" si="22"/>
        <v>0</v>
      </c>
      <c r="AA27" s="215">
        <f t="shared" si="6"/>
        <v>0</v>
      </c>
      <c r="AB27" s="215">
        <f t="shared" si="7"/>
        <v>0</v>
      </c>
      <c r="AC27" s="215">
        <f t="shared" si="22"/>
        <v>0</v>
      </c>
      <c r="AD27" s="215"/>
      <c r="AE27" s="215"/>
      <c r="AF27" s="215"/>
      <c r="AG27" s="215"/>
      <c r="AH27" s="215"/>
      <c r="AI27" s="215"/>
      <c r="AJ27" s="215">
        <f t="shared" si="8"/>
        <v>62472285</v>
      </c>
      <c r="AK27" s="215">
        <f t="shared" si="22"/>
        <v>1012688</v>
      </c>
      <c r="AL27" s="215">
        <f t="shared" si="9"/>
        <v>0</v>
      </c>
      <c r="AM27" s="215">
        <f t="shared" si="22"/>
        <v>2059687</v>
      </c>
      <c r="AN27" s="215">
        <f t="shared" si="22"/>
        <v>59399910</v>
      </c>
      <c r="AO27" s="215">
        <f t="shared" si="21"/>
        <v>0</v>
      </c>
      <c r="AP27" s="215"/>
      <c r="AQ27" s="257">
        <f t="shared" si="3"/>
        <v>0</v>
      </c>
      <c r="AS27" s="215"/>
      <c r="AT27" s="268"/>
    </row>
    <row r="28" spans="1:46" s="199" customFormat="1" ht="17.25" customHeight="1">
      <c r="A28" s="41">
        <v>17</v>
      </c>
      <c r="B28" s="42" t="s">
        <v>114</v>
      </c>
      <c r="C28" s="193">
        <f>SUM(D28:H28)</f>
        <v>59014088</v>
      </c>
      <c r="D28" s="193">
        <v>5901409</v>
      </c>
      <c r="E28" s="193"/>
      <c r="F28" s="193">
        <v>1553343</v>
      </c>
      <c r="G28" s="193">
        <v>51559336</v>
      </c>
      <c r="H28" s="193"/>
      <c r="I28" s="193">
        <f t="shared" si="4"/>
        <v>6668683</v>
      </c>
      <c r="J28" s="193">
        <v>5901409</v>
      </c>
      <c r="K28" s="193"/>
      <c r="L28" s="193"/>
      <c r="M28" s="193">
        <f aca="true" t="shared" si="23" ref="M28:N34">O28+X28+AA28</f>
        <v>767274</v>
      </c>
      <c r="N28" s="193">
        <f t="shared" si="23"/>
        <v>2521</v>
      </c>
      <c r="O28" s="193">
        <f t="shared" si="10"/>
        <v>767274</v>
      </c>
      <c r="P28" s="193">
        <f t="shared" si="13"/>
        <v>2521</v>
      </c>
      <c r="Q28" s="193">
        <v>1</v>
      </c>
      <c r="R28" s="193">
        <v>76727</v>
      </c>
      <c r="S28" s="193">
        <v>76036</v>
      </c>
      <c r="T28" s="193">
        <v>278</v>
      </c>
      <c r="U28" s="193">
        <v>614511</v>
      </c>
      <c r="V28" s="193">
        <v>2243</v>
      </c>
      <c r="W28" s="193">
        <v>111</v>
      </c>
      <c r="X28" s="193"/>
      <c r="Y28" s="193"/>
      <c r="Z28" s="193"/>
      <c r="AA28" s="193">
        <f t="shared" si="6"/>
        <v>0</v>
      </c>
      <c r="AB28" s="193">
        <f t="shared" si="7"/>
        <v>0</v>
      </c>
      <c r="AC28" s="193"/>
      <c r="AD28" s="193"/>
      <c r="AE28" s="193"/>
      <c r="AF28" s="193"/>
      <c r="AG28" s="193"/>
      <c r="AH28" s="193"/>
      <c r="AI28" s="193"/>
      <c r="AJ28" s="193">
        <f t="shared" si="8"/>
        <v>52345405</v>
      </c>
      <c r="AK28" s="193">
        <f t="shared" si="1"/>
        <v>0</v>
      </c>
      <c r="AL28" s="193">
        <f t="shared" si="9"/>
        <v>0</v>
      </c>
      <c r="AM28" s="193">
        <f t="shared" si="2"/>
        <v>1553343</v>
      </c>
      <c r="AN28" s="193">
        <f t="shared" si="11"/>
        <v>50792062</v>
      </c>
      <c r="AO28" s="193">
        <f t="shared" si="21"/>
        <v>0</v>
      </c>
      <c r="AP28" s="256">
        <f t="shared" si="12"/>
        <v>0.014881378612013158</v>
      </c>
      <c r="AQ28" s="257">
        <f t="shared" si="3"/>
        <v>0</v>
      </c>
      <c r="AS28" s="193"/>
      <c r="AT28" s="258"/>
    </row>
    <row r="29" spans="1:46" s="203" customFormat="1" ht="17.25" customHeight="1">
      <c r="A29" s="43">
        <f aca="true" t="shared" si="24" ref="A29:A34">A28+1</f>
        <v>18</v>
      </c>
      <c r="B29" s="44" t="s">
        <v>115</v>
      </c>
      <c r="C29" s="200">
        <f t="shared" si="15"/>
        <v>0</v>
      </c>
      <c r="D29" s="200"/>
      <c r="E29" s="200"/>
      <c r="F29" s="200"/>
      <c r="G29" s="200"/>
      <c r="H29" s="200"/>
      <c r="I29" s="200">
        <f t="shared" si="4"/>
        <v>0</v>
      </c>
      <c r="J29" s="200"/>
      <c r="K29" s="200"/>
      <c r="L29" s="200"/>
      <c r="M29" s="200">
        <f t="shared" si="23"/>
        <v>0</v>
      </c>
      <c r="N29" s="200">
        <f t="shared" si="23"/>
        <v>0</v>
      </c>
      <c r="O29" s="200">
        <f t="shared" si="10"/>
        <v>0</v>
      </c>
      <c r="P29" s="200">
        <f t="shared" si="13"/>
        <v>0</v>
      </c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>
        <f t="shared" si="6"/>
        <v>0</v>
      </c>
      <c r="AB29" s="200">
        <f t="shared" si="7"/>
        <v>0</v>
      </c>
      <c r="AC29" s="200"/>
      <c r="AD29" s="200"/>
      <c r="AE29" s="200"/>
      <c r="AF29" s="200"/>
      <c r="AG29" s="200"/>
      <c r="AH29" s="200"/>
      <c r="AI29" s="200"/>
      <c r="AJ29" s="200">
        <f t="shared" si="8"/>
        <v>0</v>
      </c>
      <c r="AK29" s="200">
        <f t="shared" si="1"/>
        <v>0</v>
      </c>
      <c r="AL29" s="200">
        <f t="shared" si="9"/>
        <v>0</v>
      </c>
      <c r="AM29" s="200">
        <f t="shared" si="2"/>
        <v>0</v>
      </c>
      <c r="AN29" s="200">
        <f t="shared" si="11"/>
        <v>0</v>
      </c>
      <c r="AO29" s="200">
        <f t="shared" si="21"/>
        <v>0</v>
      </c>
      <c r="AP29" s="260" t="e">
        <f t="shared" si="12"/>
        <v>#DIV/0!</v>
      </c>
      <c r="AQ29" s="257">
        <f t="shared" si="3"/>
        <v>0</v>
      </c>
      <c r="AS29" s="200"/>
      <c r="AT29" s="261"/>
    </row>
    <row r="30" spans="1:46" s="203" customFormat="1" ht="17.25" customHeight="1">
      <c r="A30" s="43">
        <f t="shared" si="24"/>
        <v>19</v>
      </c>
      <c r="B30" s="44" t="s">
        <v>116</v>
      </c>
      <c r="C30" s="200">
        <f t="shared" si="15"/>
        <v>0</v>
      </c>
      <c r="D30" s="200"/>
      <c r="E30" s="200"/>
      <c r="F30" s="200"/>
      <c r="G30" s="200"/>
      <c r="H30" s="200"/>
      <c r="I30" s="200">
        <f t="shared" si="4"/>
        <v>0</v>
      </c>
      <c r="J30" s="200"/>
      <c r="K30" s="200"/>
      <c r="L30" s="200"/>
      <c r="M30" s="200">
        <f t="shared" si="23"/>
        <v>0</v>
      </c>
      <c r="N30" s="200">
        <f t="shared" si="23"/>
        <v>0</v>
      </c>
      <c r="O30" s="200">
        <f t="shared" si="10"/>
        <v>0</v>
      </c>
      <c r="P30" s="200">
        <f t="shared" si="13"/>
        <v>0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>
        <f t="shared" si="6"/>
        <v>0</v>
      </c>
      <c r="AB30" s="200">
        <f t="shared" si="7"/>
        <v>0</v>
      </c>
      <c r="AC30" s="200"/>
      <c r="AD30" s="200"/>
      <c r="AE30" s="200"/>
      <c r="AF30" s="200"/>
      <c r="AG30" s="200"/>
      <c r="AH30" s="200"/>
      <c r="AI30" s="200"/>
      <c r="AJ30" s="200">
        <f t="shared" si="8"/>
        <v>0</v>
      </c>
      <c r="AK30" s="200">
        <f t="shared" si="1"/>
        <v>0</v>
      </c>
      <c r="AL30" s="200">
        <f t="shared" si="9"/>
        <v>0</v>
      </c>
      <c r="AM30" s="200">
        <f t="shared" si="2"/>
        <v>0</v>
      </c>
      <c r="AN30" s="200">
        <f t="shared" si="11"/>
        <v>0</v>
      </c>
      <c r="AO30" s="200">
        <f t="shared" si="21"/>
        <v>0</v>
      </c>
      <c r="AP30" s="260" t="e">
        <f t="shared" si="12"/>
        <v>#DIV/0!</v>
      </c>
      <c r="AQ30" s="257">
        <f t="shared" si="3"/>
        <v>0</v>
      </c>
      <c r="AS30" s="200"/>
      <c r="AT30" s="261"/>
    </row>
    <row r="31" spans="1:46" s="203" customFormat="1" ht="17.25" customHeight="1">
      <c r="A31" s="43">
        <f t="shared" si="24"/>
        <v>20</v>
      </c>
      <c r="B31" s="44" t="s">
        <v>84</v>
      </c>
      <c r="C31" s="200">
        <f t="shared" si="15"/>
        <v>0</v>
      </c>
      <c r="D31" s="200"/>
      <c r="E31" s="200"/>
      <c r="F31" s="200"/>
      <c r="G31" s="200"/>
      <c r="H31" s="200"/>
      <c r="I31" s="200">
        <f t="shared" si="4"/>
        <v>0</v>
      </c>
      <c r="J31" s="200"/>
      <c r="K31" s="200"/>
      <c r="L31" s="200"/>
      <c r="M31" s="200">
        <f t="shared" si="23"/>
        <v>0</v>
      </c>
      <c r="N31" s="200">
        <f t="shared" si="23"/>
        <v>0</v>
      </c>
      <c r="O31" s="200">
        <f t="shared" si="10"/>
        <v>0</v>
      </c>
      <c r="P31" s="200">
        <f t="shared" si="13"/>
        <v>0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>
        <f t="shared" si="6"/>
        <v>0</v>
      </c>
      <c r="AB31" s="200">
        <f t="shared" si="7"/>
        <v>0</v>
      </c>
      <c r="AC31" s="200"/>
      <c r="AD31" s="200"/>
      <c r="AE31" s="200"/>
      <c r="AF31" s="200"/>
      <c r="AG31" s="200"/>
      <c r="AH31" s="200"/>
      <c r="AI31" s="200"/>
      <c r="AJ31" s="200">
        <f t="shared" si="8"/>
        <v>0</v>
      </c>
      <c r="AK31" s="200">
        <f t="shared" si="1"/>
        <v>0</v>
      </c>
      <c r="AL31" s="200">
        <f t="shared" si="9"/>
        <v>0</v>
      </c>
      <c r="AM31" s="200">
        <f t="shared" si="2"/>
        <v>0</v>
      </c>
      <c r="AN31" s="200">
        <f t="shared" si="11"/>
        <v>0</v>
      </c>
      <c r="AO31" s="200">
        <f t="shared" si="21"/>
        <v>0</v>
      </c>
      <c r="AP31" s="260" t="e">
        <f t="shared" si="12"/>
        <v>#DIV/0!</v>
      </c>
      <c r="AQ31" s="257">
        <f t="shared" si="3"/>
        <v>0</v>
      </c>
      <c r="AS31" s="200"/>
      <c r="AT31" s="261"/>
    </row>
    <row r="32" spans="1:46" s="203" customFormat="1" ht="17.25" customHeight="1">
      <c r="A32" s="43">
        <f t="shared" si="24"/>
        <v>21</v>
      </c>
      <c r="B32" s="44" t="s">
        <v>83</v>
      </c>
      <c r="C32" s="200">
        <f t="shared" si="15"/>
        <v>0</v>
      </c>
      <c r="D32" s="200"/>
      <c r="E32" s="200"/>
      <c r="F32" s="200"/>
      <c r="G32" s="200"/>
      <c r="H32" s="200"/>
      <c r="I32" s="200">
        <f t="shared" si="4"/>
        <v>0</v>
      </c>
      <c r="J32" s="200"/>
      <c r="K32" s="200"/>
      <c r="L32" s="200"/>
      <c r="M32" s="200">
        <f t="shared" si="23"/>
        <v>0</v>
      </c>
      <c r="N32" s="200">
        <f t="shared" si="23"/>
        <v>0</v>
      </c>
      <c r="O32" s="200">
        <f t="shared" si="10"/>
        <v>0</v>
      </c>
      <c r="P32" s="200">
        <f t="shared" si="13"/>
        <v>0</v>
      </c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>
        <f t="shared" si="6"/>
        <v>0</v>
      </c>
      <c r="AB32" s="200">
        <f t="shared" si="7"/>
        <v>0</v>
      </c>
      <c r="AC32" s="200"/>
      <c r="AD32" s="200"/>
      <c r="AE32" s="200"/>
      <c r="AF32" s="200"/>
      <c r="AG32" s="200"/>
      <c r="AH32" s="200"/>
      <c r="AI32" s="200"/>
      <c r="AJ32" s="200">
        <f t="shared" si="8"/>
        <v>0</v>
      </c>
      <c r="AK32" s="200">
        <f t="shared" si="1"/>
        <v>0</v>
      </c>
      <c r="AL32" s="200">
        <f t="shared" si="9"/>
        <v>0</v>
      </c>
      <c r="AM32" s="200">
        <f t="shared" si="2"/>
        <v>0</v>
      </c>
      <c r="AN32" s="200">
        <f t="shared" si="11"/>
        <v>0</v>
      </c>
      <c r="AO32" s="200">
        <f t="shared" si="21"/>
        <v>0</v>
      </c>
      <c r="AP32" s="260" t="e">
        <f t="shared" si="12"/>
        <v>#DIV/0!</v>
      </c>
      <c r="AQ32" s="257">
        <f t="shared" si="3"/>
        <v>0</v>
      </c>
      <c r="AS32" s="200"/>
      <c r="AT32" s="261"/>
    </row>
    <row r="33" spans="1:46" s="203" customFormat="1" ht="17.25" customHeight="1">
      <c r="A33" s="43">
        <f t="shared" si="24"/>
        <v>22</v>
      </c>
      <c r="B33" s="44" t="s">
        <v>85</v>
      </c>
      <c r="C33" s="200">
        <f t="shared" si="15"/>
        <v>10126880</v>
      </c>
      <c r="D33" s="200">
        <f>10126880*10%</f>
        <v>1012688</v>
      </c>
      <c r="E33" s="200"/>
      <c r="F33" s="200">
        <f>D33/2</f>
        <v>506344</v>
      </c>
      <c r="G33" s="200">
        <f>10126880*85%</f>
        <v>8607848</v>
      </c>
      <c r="H33" s="200"/>
      <c r="I33" s="200">
        <f t="shared" si="4"/>
        <v>0</v>
      </c>
      <c r="J33" s="200"/>
      <c r="K33" s="200"/>
      <c r="L33" s="200"/>
      <c r="M33" s="200">
        <f t="shared" si="23"/>
        <v>0</v>
      </c>
      <c r="N33" s="200">
        <f t="shared" si="23"/>
        <v>0</v>
      </c>
      <c r="O33" s="200">
        <f t="shared" si="10"/>
        <v>0</v>
      </c>
      <c r="P33" s="200">
        <f t="shared" si="13"/>
        <v>0</v>
      </c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>
        <f t="shared" si="6"/>
        <v>0</v>
      </c>
      <c r="AB33" s="200">
        <f t="shared" si="7"/>
        <v>0</v>
      </c>
      <c r="AC33" s="200"/>
      <c r="AD33" s="200"/>
      <c r="AE33" s="200"/>
      <c r="AF33" s="200"/>
      <c r="AG33" s="200"/>
      <c r="AH33" s="200"/>
      <c r="AI33" s="200"/>
      <c r="AJ33" s="200">
        <f t="shared" si="8"/>
        <v>10126880</v>
      </c>
      <c r="AK33" s="200">
        <f t="shared" si="1"/>
        <v>1012688</v>
      </c>
      <c r="AL33" s="200">
        <f t="shared" si="9"/>
        <v>0</v>
      </c>
      <c r="AM33" s="200">
        <f t="shared" si="2"/>
        <v>506344</v>
      </c>
      <c r="AN33" s="200">
        <f t="shared" si="11"/>
        <v>8607848</v>
      </c>
      <c r="AO33" s="200">
        <f t="shared" si="21"/>
        <v>0</v>
      </c>
      <c r="AP33" s="260">
        <f t="shared" si="12"/>
        <v>0</v>
      </c>
      <c r="AQ33" s="257">
        <f t="shared" si="3"/>
        <v>0</v>
      </c>
      <c r="AS33" s="200"/>
      <c r="AT33" s="261"/>
    </row>
    <row r="34" spans="1:46" s="227" customFormat="1" ht="17.25" customHeight="1">
      <c r="A34" s="76">
        <f t="shared" si="24"/>
        <v>23</v>
      </c>
      <c r="B34" s="77" t="s">
        <v>86</v>
      </c>
      <c r="C34" s="225">
        <f t="shared" si="15"/>
        <v>0</v>
      </c>
      <c r="D34" s="225"/>
      <c r="E34" s="225"/>
      <c r="F34" s="225"/>
      <c r="G34" s="225"/>
      <c r="H34" s="225"/>
      <c r="I34" s="225">
        <f t="shared" si="4"/>
        <v>0</v>
      </c>
      <c r="J34" s="225"/>
      <c r="K34" s="225"/>
      <c r="L34" s="225"/>
      <c r="M34" s="225">
        <f t="shared" si="23"/>
        <v>0</v>
      </c>
      <c r="N34" s="225">
        <f t="shared" si="23"/>
        <v>0</v>
      </c>
      <c r="O34" s="225">
        <f t="shared" si="10"/>
        <v>0</v>
      </c>
      <c r="P34" s="225">
        <f t="shared" si="13"/>
        <v>0</v>
      </c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>
        <f t="shared" si="6"/>
        <v>0</v>
      </c>
      <c r="AB34" s="225">
        <f t="shared" si="7"/>
        <v>0</v>
      </c>
      <c r="AC34" s="225"/>
      <c r="AD34" s="225"/>
      <c r="AE34" s="225"/>
      <c r="AF34" s="225"/>
      <c r="AG34" s="225"/>
      <c r="AH34" s="225"/>
      <c r="AI34" s="225"/>
      <c r="AJ34" s="225">
        <f t="shared" si="8"/>
        <v>0</v>
      </c>
      <c r="AK34" s="225">
        <f t="shared" si="1"/>
        <v>0</v>
      </c>
      <c r="AL34" s="225">
        <f t="shared" si="9"/>
        <v>0</v>
      </c>
      <c r="AM34" s="225">
        <f t="shared" si="2"/>
        <v>0</v>
      </c>
      <c r="AN34" s="225">
        <f t="shared" si="11"/>
        <v>0</v>
      </c>
      <c r="AO34" s="225">
        <f t="shared" si="21"/>
        <v>0</v>
      </c>
      <c r="AP34" s="272" t="e">
        <f t="shared" si="12"/>
        <v>#DIV/0!</v>
      </c>
      <c r="AQ34" s="257">
        <f t="shared" si="3"/>
        <v>0</v>
      </c>
      <c r="AS34" s="225"/>
      <c r="AT34" s="266"/>
    </row>
    <row r="35" spans="1:46" s="219" customFormat="1" ht="17.25" customHeight="1">
      <c r="A35" s="213" t="s">
        <v>117</v>
      </c>
      <c r="B35" s="214" t="s">
        <v>65</v>
      </c>
      <c r="C35" s="215">
        <f>SUM(C36:C40)</f>
        <v>540507788</v>
      </c>
      <c r="D35" s="215">
        <f aca="true" t="shared" si="25" ref="D35:AO35">SUM(D36:D40)</f>
        <v>49392331.56</v>
      </c>
      <c r="E35" s="215">
        <f t="shared" si="25"/>
        <v>10069495</v>
      </c>
      <c r="F35" s="215">
        <f t="shared" si="25"/>
        <v>27100851.200000003</v>
      </c>
      <c r="G35" s="215">
        <f t="shared" si="25"/>
        <v>453945110.24</v>
      </c>
      <c r="H35" s="215">
        <f t="shared" si="25"/>
        <v>0</v>
      </c>
      <c r="I35" s="215">
        <f t="shared" si="25"/>
        <v>464146079</v>
      </c>
      <c r="J35" s="215">
        <f t="shared" si="25"/>
        <v>32454207</v>
      </c>
      <c r="K35" s="215">
        <f t="shared" si="25"/>
        <v>10068616</v>
      </c>
      <c r="L35" s="215">
        <f t="shared" si="25"/>
        <v>12367566</v>
      </c>
      <c r="M35" s="215">
        <f>SUM(M36:M40)</f>
        <v>409255690</v>
      </c>
      <c r="N35" s="215">
        <f t="shared" si="25"/>
        <v>1418351</v>
      </c>
      <c r="O35" s="215">
        <f t="shared" si="25"/>
        <v>379732309</v>
      </c>
      <c r="P35" s="215">
        <f t="shared" si="25"/>
        <v>1218218</v>
      </c>
      <c r="Q35" s="215">
        <f t="shared" si="25"/>
        <v>189</v>
      </c>
      <c r="R35" s="215">
        <f t="shared" si="25"/>
        <v>24187531</v>
      </c>
      <c r="S35" s="215">
        <f t="shared" si="25"/>
        <v>94317817</v>
      </c>
      <c r="T35" s="215">
        <f t="shared" si="25"/>
        <v>493143</v>
      </c>
      <c r="U35" s="215">
        <f t="shared" si="25"/>
        <v>177063554</v>
      </c>
      <c r="V35" s="215">
        <f t="shared" si="25"/>
        <v>491443</v>
      </c>
      <c r="W35" s="215">
        <f t="shared" si="25"/>
        <v>18864</v>
      </c>
      <c r="X35" s="215">
        <f t="shared" si="25"/>
        <v>13166485</v>
      </c>
      <c r="Y35" s="215">
        <f t="shared" si="25"/>
        <v>39318</v>
      </c>
      <c r="Z35" s="215">
        <f t="shared" si="25"/>
        <v>5395</v>
      </c>
      <c r="AA35" s="215">
        <f t="shared" si="25"/>
        <v>16356896</v>
      </c>
      <c r="AB35" s="215">
        <f t="shared" si="25"/>
        <v>160815</v>
      </c>
      <c r="AC35" s="215">
        <f t="shared" si="25"/>
        <v>123</v>
      </c>
      <c r="AD35" s="215">
        <f t="shared" si="25"/>
        <v>0</v>
      </c>
      <c r="AE35" s="215">
        <f t="shared" si="25"/>
        <v>387107</v>
      </c>
      <c r="AF35" s="215">
        <f t="shared" si="25"/>
        <v>1396</v>
      </c>
      <c r="AG35" s="215">
        <f t="shared" si="25"/>
        <v>0</v>
      </c>
      <c r="AH35" s="215">
        <f t="shared" si="25"/>
        <v>0</v>
      </c>
      <c r="AI35" s="215">
        <f t="shared" si="25"/>
        <v>0</v>
      </c>
      <c r="AJ35" s="215">
        <f t="shared" si="25"/>
        <v>76361709.00000001</v>
      </c>
      <c r="AK35" s="215">
        <f t="shared" si="25"/>
        <v>16938124.56</v>
      </c>
      <c r="AL35" s="215">
        <f t="shared" si="25"/>
        <v>879</v>
      </c>
      <c r="AM35" s="215">
        <f t="shared" si="25"/>
        <v>14733285.200000001</v>
      </c>
      <c r="AN35" s="215">
        <f t="shared" si="25"/>
        <v>44689420.24000001</v>
      </c>
      <c r="AO35" s="215">
        <f t="shared" si="25"/>
        <v>0</v>
      </c>
      <c r="AP35" s="215">
        <f>SUM(AP36:AP40)</f>
        <v>4.550386278534425</v>
      </c>
      <c r="AQ35" s="257">
        <f t="shared" si="3"/>
        <v>0</v>
      </c>
      <c r="AS35" s="215"/>
      <c r="AT35" s="268"/>
    </row>
    <row r="36" spans="1:46" s="199" customFormat="1" ht="17.25" customHeight="1">
      <c r="A36" s="41">
        <v>24</v>
      </c>
      <c r="B36" s="42" t="s">
        <v>87</v>
      </c>
      <c r="C36" s="193">
        <f>SUM(D36:H36)</f>
        <v>162134116</v>
      </c>
      <c r="D36" s="193">
        <v>13423881</v>
      </c>
      <c r="E36" s="193">
        <v>8724495</v>
      </c>
      <c r="F36" s="193">
        <v>8186621</v>
      </c>
      <c r="G36" s="193">
        <f>133462059-1662940</f>
        <v>131799119</v>
      </c>
      <c r="H36" s="193"/>
      <c r="I36" s="193">
        <f t="shared" si="4"/>
        <v>103774639</v>
      </c>
      <c r="J36" s="193">
        <v>3901901</v>
      </c>
      <c r="K36" s="193">
        <v>8724495</v>
      </c>
      <c r="L36" s="193"/>
      <c r="M36" s="193">
        <f aca="true" t="shared" si="26" ref="M36:N40">O36+X36+AA36</f>
        <v>91148243</v>
      </c>
      <c r="N36" s="193">
        <f t="shared" si="26"/>
        <v>251346</v>
      </c>
      <c r="O36" s="193">
        <v>84163407</v>
      </c>
      <c r="P36" s="193">
        <v>233632</v>
      </c>
      <c r="Q36" s="193">
        <v>19</v>
      </c>
      <c r="R36" s="193"/>
      <c r="S36" s="193"/>
      <c r="T36" s="193"/>
      <c r="U36" s="193"/>
      <c r="V36" s="193"/>
      <c r="W36" s="193"/>
      <c r="X36" s="193">
        <v>6984836</v>
      </c>
      <c r="Y36" s="193">
        <v>17714</v>
      </c>
      <c r="Z36" s="193">
        <v>1206</v>
      </c>
      <c r="AA36" s="193">
        <f t="shared" si="6"/>
        <v>0</v>
      </c>
      <c r="AB36" s="193">
        <f t="shared" si="7"/>
        <v>0</v>
      </c>
      <c r="AC36" s="193"/>
      <c r="AD36" s="193"/>
      <c r="AE36" s="193"/>
      <c r="AF36" s="193"/>
      <c r="AG36" s="193"/>
      <c r="AH36" s="193"/>
      <c r="AI36" s="193"/>
      <c r="AJ36" s="193">
        <f t="shared" si="8"/>
        <v>58359477</v>
      </c>
      <c r="AK36" s="193">
        <f t="shared" si="1"/>
        <v>9521980</v>
      </c>
      <c r="AL36" s="193">
        <f t="shared" si="9"/>
        <v>0</v>
      </c>
      <c r="AM36" s="193">
        <f t="shared" si="2"/>
        <v>8186621</v>
      </c>
      <c r="AN36" s="193">
        <f t="shared" si="11"/>
        <v>40650876</v>
      </c>
      <c r="AO36" s="193">
        <f t="shared" si="21"/>
        <v>0</v>
      </c>
      <c r="AP36" s="256">
        <f t="shared" si="12"/>
        <v>0.6915694406121182</v>
      </c>
      <c r="AQ36" s="257">
        <f>C36-I36-AJ36</f>
        <v>0</v>
      </c>
      <c r="AS36" s="193"/>
      <c r="AT36" s="258"/>
    </row>
    <row r="37" spans="1:46" s="203" customFormat="1" ht="17.25" customHeight="1">
      <c r="A37" s="43">
        <f>A36+1</f>
        <v>25</v>
      </c>
      <c r="B37" s="44" t="s">
        <v>88</v>
      </c>
      <c r="C37" s="200">
        <f>SUM(D37:H37)</f>
        <v>41492700</v>
      </c>
      <c r="D37" s="200">
        <v>4181190</v>
      </c>
      <c r="E37" s="200"/>
      <c r="F37" s="200">
        <v>2081100</v>
      </c>
      <c r="G37" s="200">
        <v>35230410</v>
      </c>
      <c r="H37" s="200"/>
      <c r="I37" s="200">
        <f t="shared" si="4"/>
        <v>32740240</v>
      </c>
      <c r="J37" s="200">
        <v>4181190</v>
      </c>
      <c r="K37" s="200"/>
      <c r="L37" s="200"/>
      <c r="M37" s="200">
        <f t="shared" si="26"/>
        <v>28559050</v>
      </c>
      <c r="N37" s="200">
        <f t="shared" si="26"/>
        <v>222241</v>
      </c>
      <c r="O37" s="200">
        <f t="shared" si="10"/>
        <v>26181360</v>
      </c>
      <c r="P37" s="200">
        <f t="shared" si="13"/>
        <v>205294</v>
      </c>
      <c r="Q37" s="200">
        <v>22</v>
      </c>
      <c r="R37" s="200">
        <v>3031440</v>
      </c>
      <c r="S37" s="200">
        <v>15413280</v>
      </c>
      <c r="T37" s="200">
        <v>112463</v>
      </c>
      <c r="U37" s="200">
        <v>7736640</v>
      </c>
      <c r="V37" s="200">
        <v>92831</v>
      </c>
      <c r="W37" s="200">
        <v>3205</v>
      </c>
      <c r="X37" s="200">
        <v>1014180</v>
      </c>
      <c r="Y37" s="200">
        <v>7766</v>
      </c>
      <c r="Z37" s="200">
        <v>1985</v>
      </c>
      <c r="AA37" s="200">
        <v>1363510</v>
      </c>
      <c r="AB37" s="200">
        <v>9181</v>
      </c>
      <c r="AC37" s="200">
        <v>6</v>
      </c>
      <c r="AD37" s="200"/>
      <c r="AE37" s="200"/>
      <c r="AF37" s="200"/>
      <c r="AG37" s="200"/>
      <c r="AH37" s="200"/>
      <c r="AI37" s="200"/>
      <c r="AJ37" s="200">
        <f t="shared" si="8"/>
        <v>8752460</v>
      </c>
      <c r="AK37" s="200">
        <f t="shared" si="1"/>
        <v>0</v>
      </c>
      <c r="AL37" s="200">
        <f t="shared" si="9"/>
        <v>0</v>
      </c>
      <c r="AM37" s="200">
        <f t="shared" si="2"/>
        <v>2081100</v>
      </c>
      <c r="AN37" s="200">
        <f t="shared" si="11"/>
        <v>6671360</v>
      </c>
      <c r="AO37" s="200">
        <f t="shared" si="21"/>
        <v>0</v>
      </c>
      <c r="AP37" s="260">
        <f t="shared" si="12"/>
        <v>0.8106363224271305</v>
      </c>
      <c r="AQ37" s="257">
        <f t="shared" si="3"/>
        <v>0</v>
      </c>
      <c r="AS37" s="200"/>
      <c r="AT37" s="261"/>
    </row>
    <row r="38" spans="1:46" s="203" customFormat="1" ht="17.25" customHeight="1">
      <c r="A38" s="43">
        <f>A37+1</f>
        <v>26</v>
      </c>
      <c r="B38" s="44" t="s">
        <v>89</v>
      </c>
      <c r="C38" s="200">
        <f t="shared" si="15"/>
        <v>57533683</v>
      </c>
      <c r="D38" s="200">
        <v>5949898</v>
      </c>
      <c r="E38" s="200"/>
      <c r="F38" s="200">
        <v>2865766</v>
      </c>
      <c r="G38" s="200">
        <v>48718019</v>
      </c>
      <c r="H38" s="200"/>
      <c r="I38" s="200">
        <f t="shared" si="4"/>
        <v>54667917</v>
      </c>
      <c r="J38" s="200">
        <f>D38</f>
        <v>5949898</v>
      </c>
      <c r="K38" s="200"/>
      <c r="L38" s="200">
        <v>0</v>
      </c>
      <c r="M38" s="200">
        <f t="shared" si="26"/>
        <v>48718019</v>
      </c>
      <c r="N38" s="200">
        <f t="shared" si="26"/>
        <v>161860</v>
      </c>
      <c r="O38" s="200">
        <f t="shared" si="10"/>
        <v>47454390</v>
      </c>
      <c r="P38" s="200">
        <f>T38+V38</f>
        <v>158928</v>
      </c>
      <c r="Q38" s="200">
        <v>68</v>
      </c>
      <c r="R38" s="200">
        <v>1106637</v>
      </c>
      <c r="S38" s="200">
        <v>36388017</v>
      </c>
      <c r="T38" s="200">
        <v>124423</v>
      </c>
      <c r="U38" s="200">
        <v>9959736</v>
      </c>
      <c r="V38" s="200">
        <v>34505</v>
      </c>
      <c r="W38" s="200">
        <v>1052</v>
      </c>
      <c r="X38" s="200">
        <v>876522</v>
      </c>
      <c r="Y38" s="200">
        <v>1536</v>
      </c>
      <c r="Z38" s="200">
        <v>112</v>
      </c>
      <c r="AA38" s="200">
        <f t="shared" si="6"/>
        <v>387107</v>
      </c>
      <c r="AB38" s="200">
        <f t="shared" si="7"/>
        <v>1396</v>
      </c>
      <c r="AC38" s="200">
        <v>27</v>
      </c>
      <c r="AD38" s="200"/>
      <c r="AE38" s="200">
        <v>387107</v>
      </c>
      <c r="AF38" s="200">
        <v>1396</v>
      </c>
      <c r="AG38" s="200"/>
      <c r="AH38" s="200"/>
      <c r="AI38" s="200"/>
      <c r="AJ38" s="200">
        <f t="shared" si="8"/>
        <v>2865766</v>
      </c>
      <c r="AK38" s="200">
        <f t="shared" si="1"/>
        <v>0</v>
      </c>
      <c r="AL38" s="200">
        <f t="shared" si="9"/>
        <v>0</v>
      </c>
      <c r="AM38" s="200">
        <f t="shared" si="2"/>
        <v>2865766</v>
      </c>
      <c r="AN38" s="200">
        <f>G38-M38</f>
        <v>0</v>
      </c>
      <c r="AO38" s="200">
        <f t="shared" si="21"/>
        <v>0</v>
      </c>
      <c r="AP38" s="260">
        <f>M38/G38</f>
        <v>1</v>
      </c>
      <c r="AQ38" s="257">
        <f t="shared" si="3"/>
        <v>0</v>
      </c>
      <c r="AS38" s="200"/>
      <c r="AT38" s="261"/>
    </row>
    <row r="39" spans="1:46" s="203" customFormat="1" ht="17.25" customHeight="1">
      <c r="A39" s="43">
        <f>A38+1</f>
        <v>27</v>
      </c>
      <c r="B39" s="44" t="s">
        <v>90</v>
      </c>
      <c r="C39" s="200">
        <f t="shared" si="15"/>
        <v>69610605</v>
      </c>
      <c r="D39" s="200">
        <v>6961061</v>
      </c>
      <c r="E39" s="200"/>
      <c r="F39" s="200">
        <v>3480530</v>
      </c>
      <c r="G39" s="200">
        <f>55532729+3636285</f>
        <v>59169014</v>
      </c>
      <c r="H39" s="200"/>
      <c r="I39" s="200">
        <f t="shared" si="4"/>
        <v>63311626</v>
      </c>
      <c r="J39" s="200">
        <v>1184213</v>
      </c>
      <c r="K39" s="200"/>
      <c r="L39" s="200">
        <v>0</v>
      </c>
      <c r="M39" s="200">
        <f t="shared" si="26"/>
        <v>62127413</v>
      </c>
      <c r="N39" s="200">
        <f t="shared" si="26"/>
        <v>449025</v>
      </c>
      <c r="O39" s="200">
        <f t="shared" si="10"/>
        <v>47292000</v>
      </c>
      <c r="P39" s="200">
        <f>T39+V39</f>
        <v>295630</v>
      </c>
      <c r="Q39" s="200">
        <v>37</v>
      </c>
      <c r="R39" s="200">
        <v>4729200</v>
      </c>
      <c r="S39" s="200">
        <v>42516520</v>
      </c>
      <c r="T39" s="200">
        <v>256257</v>
      </c>
      <c r="U39" s="200">
        <v>46280</v>
      </c>
      <c r="V39" s="200">
        <v>39373</v>
      </c>
      <c r="W39" s="200">
        <v>193</v>
      </c>
      <c r="X39" s="200">
        <v>229134</v>
      </c>
      <c r="Y39" s="200">
        <v>3157</v>
      </c>
      <c r="Z39" s="200">
        <v>7</v>
      </c>
      <c r="AA39" s="200">
        <v>14606279</v>
      </c>
      <c r="AB39" s="200">
        <v>150238</v>
      </c>
      <c r="AC39" s="200">
        <v>90</v>
      </c>
      <c r="AD39" s="200"/>
      <c r="AE39" s="200"/>
      <c r="AF39" s="200"/>
      <c r="AG39" s="200"/>
      <c r="AH39" s="200"/>
      <c r="AI39" s="200"/>
      <c r="AJ39" s="200">
        <f t="shared" si="8"/>
        <v>6298979</v>
      </c>
      <c r="AK39" s="200">
        <f t="shared" si="1"/>
        <v>5776848</v>
      </c>
      <c r="AL39" s="200">
        <f t="shared" si="9"/>
        <v>0</v>
      </c>
      <c r="AM39" s="200">
        <f t="shared" si="2"/>
        <v>3480530</v>
      </c>
      <c r="AN39" s="200">
        <f>G39-M39</f>
        <v>-2958399</v>
      </c>
      <c r="AO39" s="200">
        <f t="shared" si="21"/>
        <v>0</v>
      </c>
      <c r="AP39" s="260">
        <f>M39/G39</f>
        <v>1.0499991262318482</v>
      </c>
      <c r="AQ39" s="257">
        <f t="shared" si="3"/>
        <v>0</v>
      </c>
      <c r="AS39" s="200"/>
      <c r="AT39" s="261"/>
    </row>
    <row r="40" spans="1:46" s="227" customFormat="1" ht="17.25" customHeight="1">
      <c r="A40" s="76">
        <f>A39+1</f>
        <v>28</v>
      </c>
      <c r="B40" s="77" t="s">
        <v>91</v>
      </c>
      <c r="C40" s="210">
        <f>SUM(D40:H40)</f>
        <v>209736684</v>
      </c>
      <c r="D40" s="225">
        <f>209736684*9%</f>
        <v>18876301.56</v>
      </c>
      <c r="E40" s="225">
        <v>1345000</v>
      </c>
      <c r="F40" s="225">
        <f>209736684*5%</f>
        <v>10486834.200000001</v>
      </c>
      <c r="G40" s="225">
        <f>209736684-D40-E40-F40</f>
        <v>179028548.24</v>
      </c>
      <c r="H40" s="225"/>
      <c r="I40" s="225">
        <f t="shared" si="4"/>
        <v>209651657</v>
      </c>
      <c r="J40" s="225">
        <f>8666367+8570638</f>
        <v>17237005</v>
      </c>
      <c r="K40" s="225">
        <v>1344121</v>
      </c>
      <c r="L40" s="225">
        <f>2920882+9446684</f>
        <v>12367566</v>
      </c>
      <c r="M40" s="210">
        <f>O40+X40+AA40</f>
        <v>178702965</v>
      </c>
      <c r="N40" s="210">
        <f t="shared" si="26"/>
        <v>333879</v>
      </c>
      <c r="O40" s="225">
        <f>R40+S40+U40</f>
        <v>174641152</v>
      </c>
      <c r="P40" s="210">
        <f>T40+V40</f>
        <v>324734</v>
      </c>
      <c r="Q40" s="225">
        <v>43</v>
      </c>
      <c r="R40" s="225">
        <f>5087844+10232410</f>
        <v>15320254</v>
      </c>
      <c r="S40" s="225"/>
      <c r="T40" s="225"/>
      <c r="U40" s="225">
        <f>59231056+100089842</f>
        <v>159320898</v>
      </c>
      <c r="V40" s="225">
        <v>324734</v>
      </c>
      <c r="W40" s="225">
        <v>14414</v>
      </c>
      <c r="X40" s="225">
        <f>950199+3111614</f>
        <v>4061813</v>
      </c>
      <c r="Y40" s="225">
        <v>9145</v>
      </c>
      <c r="Z40" s="225">
        <v>2085</v>
      </c>
      <c r="AA40" s="225">
        <f t="shared" si="6"/>
        <v>0</v>
      </c>
      <c r="AB40" s="225">
        <f t="shared" si="7"/>
        <v>0</v>
      </c>
      <c r="AC40" s="225"/>
      <c r="AD40" s="210"/>
      <c r="AE40" s="210"/>
      <c r="AF40" s="210"/>
      <c r="AG40" s="210"/>
      <c r="AH40" s="210"/>
      <c r="AI40" s="210"/>
      <c r="AJ40" s="210">
        <f t="shared" si="8"/>
        <v>85027.00000000931</v>
      </c>
      <c r="AK40" s="210">
        <f t="shared" si="1"/>
        <v>1639296.5599999987</v>
      </c>
      <c r="AL40" s="210">
        <f t="shared" si="9"/>
        <v>879</v>
      </c>
      <c r="AM40" s="210">
        <f t="shared" si="2"/>
        <v>-1880731.7999999989</v>
      </c>
      <c r="AN40" s="210">
        <f>G40-M40</f>
        <v>325583.24000000954</v>
      </c>
      <c r="AO40" s="210">
        <f t="shared" si="21"/>
        <v>0</v>
      </c>
      <c r="AP40" s="273">
        <f>M40/G40</f>
        <v>0.9981813892633283</v>
      </c>
      <c r="AQ40" s="257">
        <f t="shared" si="3"/>
        <v>-9.313225746154785E-09</v>
      </c>
      <c r="AS40" s="225"/>
      <c r="AT40" s="266"/>
    </row>
    <row r="41" spans="1:46" s="17" customFormat="1" ht="17.25" customHeight="1">
      <c r="A41" s="38" t="s">
        <v>118</v>
      </c>
      <c r="B41" s="39" t="s">
        <v>66</v>
      </c>
      <c r="C41" s="40">
        <f aca="true" t="shared" si="27" ref="C41:AP41">SUM(C42:C43)</f>
        <v>3000000</v>
      </c>
      <c r="D41" s="40">
        <f t="shared" si="27"/>
        <v>300000</v>
      </c>
      <c r="E41" s="40">
        <f t="shared" si="27"/>
        <v>0</v>
      </c>
      <c r="F41" s="40">
        <f t="shared" si="27"/>
        <v>150000</v>
      </c>
      <c r="G41" s="40">
        <f t="shared" si="27"/>
        <v>2550000</v>
      </c>
      <c r="H41" s="40">
        <f t="shared" si="27"/>
        <v>0</v>
      </c>
      <c r="I41" s="40">
        <f t="shared" si="27"/>
        <v>0</v>
      </c>
      <c r="J41" s="40">
        <f t="shared" si="27"/>
        <v>0</v>
      </c>
      <c r="K41" s="40">
        <f t="shared" si="27"/>
        <v>0</v>
      </c>
      <c r="L41" s="40">
        <f t="shared" si="27"/>
        <v>0</v>
      </c>
      <c r="M41" s="40">
        <f t="shared" si="27"/>
        <v>0</v>
      </c>
      <c r="N41" s="40">
        <f t="shared" si="27"/>
        <v>0</v>
      </c>
      <c r="O41" s="40">
        <f t="shared" si="27"/>
        <v>0</v>
      </c>
      <c r="P41" s="40">
        <f t="shared" si="27"/>
        <v>0</v>
      </c>
      <c r="Q41" s="40">
        <f t="shared" si="27"/>
        <v>0</v>
      </c>
      <c r="R41" s="40">
        <f t="shared" si="27"/>
        <v>0</v>
      </c>
      <c r="S41" s="40">
        <f t="shared" si="27"/>
        <v>0</v>
      </c>
      <c r="T41" s="40">
        <f t="shared" si="27"/>
        <v>0</v>
      </c>
      <c r="U41" s="40">
        <f t="shared" si="27"/>
        <v>0</v>
      </c>
      <c r="V41" s="40">
        <f t="shared" si="27"/>
        <v>0</v>
      </c>
      <c r="W41" s="40">
        <f t="shared" si="27"/>
        <v>0</v>
      </c>
      <c r="X41" s="40">
        <f t="shared" si="27"/>
        <v>0</v>
      </c>
      <c r="Y41" s="40">
        <f t="shared" si="27"/>
        <v>0</v>
      </c>
      <c r="Z41" s="40">
        <f t="shared" si="27"/>
        <v>0</v>
      </c>
      <c r="AA41" s="40">
        <f t="shared" si="27"/>
        <v>0</v>
      </c>
      <c r="AB41" s="40">
        <f t="shared" si="27"/>
        <v>0</v>
      </c>
      <c r="AC41" s="40">
        <f t="shared" si="27"/>
        <v>0</v>
      </c>
      <c r="AD41" s="40">
        <f t="shared" si="27"/>
        <v>0</v>
      </c>
      <c r="AE41" s="40">
        <f t="shared" si="27"/>
        <v>0</v>
      </c>
      <c r="AF41" s="40">
        <f t="shared" si="27"/>
        <v>0</v>
      </c>
      <c r="AG41" s="40">
        <f t="shared" si="27"/>
        <v>0</v>
      </c>
      <c r="AH41" s="40">
        <f t="shared" si="27"/>
        <v>0</v>
      </c>
      <c r="AI41" s="40">
        <f t="shared" si="27"/>
        <v>0</v>
      </c>
      <c r="AJ41" s="40">
        <f t="shared" si="27"/>
        <v>3000000</v>
      </c>
      <c r="AK41" s="40">
        <f t="shared" si="27"/>
        <v>300000</v>
      </c>
      <c r="AL41" s="40">
        <f t="shared" si="27"/>
        <v>0</v>
      </c>
      <c r="AM41" s="40">
        <f t="shared" si="27"/>
        <v>150000</v>
      </c>
      <c r="AN41" s="40">
        <f t="shared" si="27"/>
        <v>2550000</v>
      </c>
      <c r="AO41" s="40">
        <f t="shared" si="27"/>
        <v>0</v>
      </c>
      <c r="AP41" s="40" t="e">
        <f t="shared" si="27"/>
        <v>#DIV/0!</v>
      </c>
      <c r="AS41" s="27"/>
      <c r="AT41" s="92"/>
    </row>
    <row r="42" spans="1:46" s="78" customFormat="1" ht="17.25" customHeight="1">
      <c r="A42" s="29">
        <v>29</v>
      </c>
      <c r="B42" s="30" t="s">
        <v>92</v>
      </c>
      <c r="C42" s="31">
        <f>SUM(D42:H42)</f>
        <v>3000000</v>
      </c>
      <c r="D42" s="31">
        <v>300000</v>
      </c>
      <c r="E42" s="31"/>
      <c r="F42" s="31">
        <v>150000</v>
      </c>
      <c r="G42" s="31">
        <f>3000000-D42-F42</f>
        <v>2550000</v>
      </c>
      <c r="H42" s="31"/>
      <c r="I42" s="31">
        <f t="shared" si="4"/>
        <v>0</v>
      </c>
      <c r="J42" s="31"/>
      <c r="K42" s="31"/>
      <c r="L42" s="31"/>
      <c r="M42" s="31"/>
      <c r="N42" s="31"/>
      <c r="O42" s="31">
        <f>R42+S42+U42</f>
        <v>0</v>
      </c>
      <c r="P42" s="31">
        <f>T42+V42</f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>
        <f t="shared" si="6"/>
        <v>0</v>
      </c>
      <c r="AB42" s="31">
        <f t="shared" si="7"/>
        <v>0</v>
      </c>
      <c r="AC42" s="31"/>
      <c r="AD42" s="31"/>
      <c r="AE42" s="31"/>
      <c r="AF42" s="31"/>
      <c r="AG42" s="31"/>
      <c r="AH42" s="31"/>
      <c r="AI42" s="31"/>
      <c r="AJ42" s="31">
        <f t="shared" si="8"/>
        <v>3000000</v>
      </c>
      <c r="AK42" s="31">
        <f>D42-J42</f>
        <v>300000</v>
      </c>
      <c r="AL42" s="31">
        <f t="shared" si="9"/>
        <v>0</v>
      </c>
      <c r="AM42" s="31">
        <f>F42-L42</f>
        <v>150000</v>
      </c>
      <c r="AN42" s="31">
        <f>G42-M42</f>
        <v>2550000</v>
      </c>
      <c r="AO42" s="31">
        <f t="shared" si="21"/>
        <v>0</v>
      </c>
      <c r="AP42" s="53">
        <f>M42/G42</f>
        <v>0</v>
      </c>
      <c r="AS42" s="31"/>
      <c r="AT42" s="52"/>
    </row>
    <row r="43" spans="1:46" s="79" customFormat="1" ht="17.25" customHeight="1">
      <c r="A43" s="32">
        <v>30</v>
      </c>
      <c r="B43" s="33" t="s">
        <v>93</v>
      </c>
      <c r="C43" s="34">
        <f t="shared" si="15"/>
        <v>0</v>
      </c>
      <c r="D43" s="34"/>
      <c r="E43" s="34"/>
      <c r="F43" s="34"/>
      <c r="G43" s="34"/>
      <c r="H43" s="34"/>
      <c r="I43" s="34">
        <f t="shared" si="4"/>
        <v>0</v>
      </c>
      <c r="J43" s="34"/>
      <c r="K43" s="34"/>
      <c r="L43" s="34"/>
      <c r="M43" s="34"/>
      <c r="N43" s="34"/>
      <c r="O43" s="34">
        <f>R43+S43+U43</f>
        <v>0</v>
      </c>
      <c r="P43" s="34">
        <f>T43+V43</f>
        <v>0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>
        <f t="shared" si="6"/>
        <v>0</v>
      </c>
      <c r="AB43" s="34">
        <f t="shared" si="7"/>
        <v>0</v>
      </c>
      <c r="AC43" s="34"/>
      <c r="AD43" s="34"/>
      <c r="AE43" s="34"/>
      <c r="AF43" s="34"/>
      <c r="AG43" s="34"/>
      <c r="AH43" s="34"/>
      <c r="AI43" s="34"/>
      <c r="AJ43" s="34">
        <f t="shared" si="8"/>
        <v>0</v>
      </c>
      <c r="AK43" s="34">
        <f>D43-J43</f>
        <v>0</v>
      </c>
      <c r="AL43" s="34">
        <f t="shared" si="9"/>
        <v>0</v>
      </c>
      <c r="AM43" s="34">
        <f>F43-L43</f>
        <v>0</v>
      </c>
      <c r="AN43" s="34">
        <f>G43-M43</f>
        <v>0</v>
      </c>
      <c r="AO43" s="34">
        <f t="shared" si="21"/>
        <v>0</v>
      </c>
      <c r="AP43" s="55" t="e">
        <f>M43/G43</f>
        <v>#DIV/0!</v>
      </c>
      <c r="AS43" s="34"/>
      <c r="AT43" s="54"/>
    </row>
    <row r="44" spans="1:46" s="17" customFormat="1" ht="17.25" customHeight="1">
      <c r="A44" s="47"/>
      <c r="B44" s="48" t="s">
        <v>60</v>
      </c>
      <c r="C44" s="84">
        <f>C8+C13+C21+C27+C35+C41</f>
        <v>1090862651</v>
      </c>
      <c r="D44" s="84">
        <f aca="true" t="shared" si="28" ref="D44:AO44">D8+D13+D21+D27+D35+D41</f>
        <v>91283108.86000001</v>
      </c>
      <c r="E44" s="84">
        <f t="shared" si="28"/>
        <v>10069495</v>
      </c>
      <c r="F44" s="84">
        <f t="shared" si="28"/>
        <v>52213698.85000001</v>
      </c>
      <c r="G44" s="84">
        <f t="shared" si="28"/>
        <v>919176540.29</v>
      </c>
      <c r="H44" s="84">
        <f t="shared" si="28"/>
        <v>18119808</v>
      </c>
      <c r="I44" s="84">
        <f t="shared" si="28"/>
        <v>819590744</v>
      </c>
      <c r="J44" s="84">
        <f t="shared" si="28"/>
        <v>58036939</v>
      </c>
      <c r="K44" s="84">
        <f t="shared" si="28"/>
        <v>10068616</v>
      </c>
      <c r="L44" s="84">
        <f t="shared" si="28"/>
        <v>12367566</v>
      </c>
      <c r="M44" s="84">
        <f>M8+M13+M21+M27+M35+M41</f>
        <v>739117623</v>
      </c>
      <c r="N44" s="84">
        <f t="shared" si="28"/>
        <v>2824083</v>
      </c>
      <c r="O44" s="84">
        <f t="shared" si="28"/>
        <v>430395090</v>
      </c>
      <c r="P44" s="84">
        <f t="shared" si="28"/>
        <v>1529674</v>
      </c>
      <c r="Q44" s="84">
        <f t="shared" si="28"/>
        <v>243</v>
      </c>
      <c r="R44" s="84">
        <f t="shared" si="28"/>
        <v>29183142</v>
      </c>
      <c r="S44" s="84">
        <f t="shared" si="28"/>
        <v>99187145</v>
      </c>
      <c r="T44" s="84">
        <f t="shared" si="28"/>
        <v>511162</v>
      </c>
      <c r="U44" s="84">
        <f t="shared" si="28"/>
        <v>213416430</v>
      </c>
      <c r="V44" s="84">
        <f t="shared" si="28"/>
        <v>695992</v>
      </c>
      <c r="W44" s="84">
        <f t="shared" si="28"/>
        <v>36262</v>
      </c>
      <c r="X44" s="84">
        <f t="shared" si="28"/>
        <v>161642624</v>
      </c>
      <c r="Y44" s="84">
        <f t="shared" si="28"/>
        <v>637553</v>
      </c>
      <c r="Z44" s="84">
        <f t="shared" si="28"/>
        <v>81513</v>
      </c>
      <c r="AA44" s="84">
        <f t="shared" si="28"/>
        <v>147079909</v>
      </c>
      <c r="AB44" s="84">
        <f t="shared" si="28"/>
        <v>656856</v>
      </c>
      <c r="AC44" s="84">
        <f t="shared" si="28"/>
        <v>176</v>
      </c>
      <c r="AD44" s="84">
        <f t="shared" si="28"/>
        <v>11112765</v>
      </c>
      <c r="AE44" s="84">
        <f t="shared" si="28"/>
        <v>387107</v>
      </c>
      <c r="AF44" s="84">
        <f t="shared" si="28"/>
        <v>1396</v>
      </c>
      <c r="AG44" s="84">
        <f t="shared" si="28"/>
        <v>119197885</v>
      </c>
      <c r="AH44" s="84">
        <f t="shared" si="28"/>
        <v>482818</v>
      </c>
      <c r="AI44" s="84">
        <f t="shared" si="28"/>
        <v>56419</v>
      </c>
      <c r="AJ44" s="84">
        <f t="shared" si="28"/>
        <v>271271907</v>
      </c>
      <c r="AK44" s="84">
        <f t="shared" si="28"/>
        <v>33246169.86</v>
      </c>
      <c r="AL44" s="84">
        <f t="shared" si="28"/>
        <v>879</v>
      </c>
      <c r="AM44" s="84">
        <f t="shared" si="28"/>
        <v>39846132.85</v>
      </c>
      <c r="AN44" s="84">
        <f t="shared" si="28"/>
        <v>180058917.29000002</v>
      </c>
      <c r="AO44" s="84">
        <f t="shared" si="28"/>
        <v>18119808</v>
      </c>
      <c r="AP44" s="97">
        <f>M44/G44</f>
        <v>0.8041084499032238</v>
      </c>
      <c r="AS44" s="27"/>
      <c r="AT44" s="28"/>
    </row>
    <row r="45" spans="3:43" ht="17.25" customHeight="1">
      <c r="C45" s="28"/>
      <c r="F45" s="28"/>
      <c r="G45" s="28"/>
      <c r="H45" s="28"/>
      <c r="I45" s="28"/>
      <c r="J45" s="28"/>
      <c r="K45" s="28"/>
      <c r="M45" s="15">
        <f>M9+M10+M11+M12+M14+M15+M16+M23+M28+M36+M37+M38+M39+M40</f>
        <v>739117623</v>
      </c>
      <c r="N45" s="15"/>
      <c r="O45" s="15"/>
      <c r="P45" s="16"/>
      <c r="Q45" s="16"/>
      <c r="R45" s="16"/>
      <c r="S45" s="16"/>
      <c r="W45" s="16">
        <f>W44+AI44</f>
        <v>92681</v>
      </c>
      <c r="Z45" s="16">
        <f>Z9+Z10+Z11+Z12+Z14+Z15+Z36+Z37+Z38+Z39+Z40</f>
        <v>81513</v>
      </c>
      <c r="AA45" s="28"/>
      <c r="AB45" s="14"/>
      <c r="AC45" s="14"/>
      <c r="AD45" s="14"/>
      <c r="AE45" s="14"/>
      <c r="AF45" s="14"/>
      <c r="AG45" s="14"/>
      <c r="AH45" s="14"/>
      <c r="AI45" s="28">
        <f>AI10+AI14</f>
        <v>56419</v>
      </c>
      <c r="AJ45" s="14"/>
      <c r="AQ45" s="28"/>
    </row>
    <row r="46" spans="3:36" ht="17.25" customHeight="1">
      <c r="C46" s="28"/>
      <c r="D46" s="28">
        <f>D44+E44+F44+G44</f>
        <v>1072742843</v>
      </c>
      <c r="F46" s="28"/>
      <c r="M46" s="192">
        <f>M44/G44</f>
        <v>0.8041084499032238</v>
      </c>
      <c r="N46" s="15"/>
      <c r="O46" s="15"/>
      <c r="P46" s="16"/>
      <c r="Q46" s="16"/>
      <c r="R46" s="16"/>
      <c r="S46" s="16"/>
      <c r="W46" s="16">
        <f>W11+W12+W14+W15+W16+W23+W28+W37+W38+W39+W40</f>
        <v>36262</v>
      </c>
      <c r="AA46" s="14"/>
      <c r="AB46" s="14"/>
      <c r="AC46" s="14"/>
      <c r="AD46" s="14"/>
      <c r="AE46" s="14"/>
      <c r="AF46" s="14"/>
      <c r="AG46" s="28">
        <f>AI44+W44</f>
        <v>92681</v>
      </c>
      <c r="AH46" s="14"/>
      <c r="AI46" s="14"/>
      <c r="AJ46" s="14"/>
    </row>
    <row r="47" spans="4:36" ht="17.25" customHeight="1">
      <c r="D47" s="28"/>
      <c r="M47" s="15"/>
      <c r="N47" s="15"/>
      <c r="O47" s="15"/>
      <c r="P47" s="16"/>
      <c r="Q47" s="16"/>
      <c r="R47" s="16"/>
      <c r="S47" s="16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3:36" ht="17.25" customHeight="1">
      <c r="M48" s="15" t="e">
        <f>M44+'Bieu 10'!M44+#REF!</f>
        <v>#REF!</v>
      </c>
      <c r="N48" s="15"/>
      <c r="O48" s="15"/>
      <c r="P48" s="16"/>
      <c r="Q48" s="16"/>
      <c r="R48" s="16"/>
      <c r="S48" s="16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ht="35.25" customHeight="1">
      <c r="U49" s="16">
        <f>U48/W45</f>
        <v>0</v>
      </c>
    </row>
  </sheetData>
  <sheetProtection/>
  <mergeCells count="47">
    <mergeCell ref="AL2:AL6"/>
    <mergeCell ref="AP1:AP6"/>
    <mergeCell ref="P4:P6"/>
    <mergeCell ref="O4:O6"/>
    <mergeCell ref="N4:N6"/>
    <mergeCell ref="AA4:AA6"/>
    <mergeCell ref="AB4:AB6"/>
    <mergeCell ref="AK2:AK6"/>
    <mergeCell ref="AM2:AM6"/>
    <mergeCell ref="AN2:AN6"/>
    <mergeCell ref="AJ2:AJ6"/>
    <mergeCell ref="X4:X6"/>
    <mergeCell ref="Y4:Y6"/>
    <mergeCell ref="AO2:AO6"/>
    <mergeCell ref="AJ1:AO1"/>
    <mergeCell ref="AC4:AC6"/>
    <mergeCell ref="J1:AC1"/>
    <mergeCell ref="U5:W5"/>
    <mergeCell ref="Q4:Q6"/>
    <mergeCell ref="R4:W4"/>
    <mergeCell ref="A1:A6"/>
    <mergeCell ref="O3:W3"/>
    <mergeCell ref="S5:T5"/>
    <mergeCell ref="M2:N3"/>
    <mergeCell ref="M4:M6"/>
    <mergeCell ref="R5:R6"/>
    <mergeCell ref="L2:L6"/>
    <mergeCell ref="J2:J6"/>
    <mergeCell ref="C2:C6"/>
    <mergeCell ref="I2:I6"/>
    <mergeCell ref="D2:H2"/>
    <mergeCell ref="H3:H6"/>
    <mergeCell ref="C1:I1"/>
    <mergeCell ref="B1:B6"/>
    <mergeCell ref="F3:F6"/>
    <mergeCell ref="G3:G6"/>
    <mergeCell ref="E3:E6"/>
    <mergeCell ref="K2:K6"/>
    <mergeCell ref="D3:D6"/>
    <mergeCell ref="AD4:AI4"/>
    <mergeCell ref="AD5:AD6"/>
    <mergeCell ref="AE5:AF5"/>
    <mergeCell ref="AG5:AI5"/>
    <mergeCell ref="Z4:Z6"/>
    <mergeCell ref="O2:AC2"/>
    <mergeCell ref="X3:Z3"/>
    <mergeCell ref="AA3:AI3"/>
  </mergeCells>
  <printOptions horizontalCentered="1"/>
  <pageMargins left="0.2" right="0.2" top="0.75" bottom="0.75" header="0" footer="0"/>
  <pageSetup horizontalDpi="600" verticalDpi="600" orientation="landscape" r:id="rId3"/>
  <headerFooter>
    <oddHeader>&amp;C&amp;"Time new roman,Bold"&amp;10Phụ biểu 09. Kết quả giải  ngân tiền DVMTR thu được trong năm 2011, 2012 của Quỹ Bảo vệ và Phát triển rừng tỉnh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U2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140625" style="0" customWidth="1"/>
    <col min="2" max="2" width="56.421875" style="0" customWidth="1"/>
    <col min="3" max="3" width="14.140625" style="0" customWidth="1"/>
    <col min="4" max="4" width="16.421875" style="0" customWidth="1"/>
    <col min="5" max="5" width="16.00390625" style="0" customWidth="1"/>
    <col min="6" max="6" width="15.28125" style="0" customWidth="1"/>
    <col min="7" max="7" width="10.57421875" style="0" bestFit="1" customWidth="1"/>
    <col min="8" max="8" width="12.140625" style="0" bestFit="1" customWidth="1"/>
    <col min="9" max="9" width="12.8515625" style="0" customWidth="1"/>
    <col min="11" max="11" width="12.7109375" style="0" customWidth="1"/>
    <col min="12" max="12" width="13.57421875" style="0" customWidth="1"/>
  </cols>
  <sheetData>
    <row r="3" spans="1:6" ht="15">
      <c r="A3" s="587" t="s">
        <v>0</v>
      </c>
      <c r="B3" s="587" t="s">
        <v>419</v>
      </c>
      <c r="C3" s="587" t="s">
        <v>24</v>
      </c>
      <c r="D3" s="587" t="s">
        <v>491</v>
      </c>
      <c r="E3" s="587">
        <v>2013</v>
      </c>
      <c r="F3" s="587" t="s">
        <v>400</v>
      </c>
    </row>
    <row r="4" spans="1:6" s="585" customFormat="1" ht="17.25" customHeight="1">
      <c r="A4" s="588">
        <v>1</v>
      </c>
      <c r="B4" s="588" t="s">
        <v>486</v>
      </c>
      <c r="C4" s="588" t="s">
        <v>468</v>
      </c>
      <c r="D4" s="589">
        <f>SUM(D5:D8)</f>
        <v>1072742.8429999999</v>
      </c>
      <c r="E4" s="589">
        <f>SUM(E5:E8)</f>
        <v>1007822.6836999999</v>
      </c>
      <c r="F4" s="590">
        <f>D4+E4</f>
        <v>2080565.5266999998</v>
      </c>
    </row>
    <row r="5" spans="1:8" ht="15">
      <c r="A5" s="591"/>
      <c r="B5" s="591" t="s">
        <v>487</v>
      </c>
      <c r="C5" s="591" t="s">
        <v>468</v>
      </c>
      <c r="D5" s="592">
        <f>'Chi 2011,2012'!D43/1000</f>
        <v>91283.10886000001</v>
      </c>
      <c r="E5" s="592">
        <f>'Chi 2013'!D44/1000</f>
        <v>88404.8211</v>
      </c>
      <c r="F5" s="592">
        <f aca="true" t="shared" si="0" ref="F5:F18">D5+E5</f>
        <v>179687.92996</v>
      </c>
      <c r="H5" s="586"/>
    </row>
    <row r="6" spans="1:7" ht="15.75" customHeight="1">
      <c r="A6" s="616"/>
      <c r="B6" s="616" t="s">
        <v>488</v>
      </c>
      <c r="C6" s="616" t="s">
        <v>468</v>
      </c>
      <c r="D6" s="617">
        <f>'Chi 2011,2012'!F43/1000</f>
        <v>52213.69885000001</v>
      </c>
      <c r="E6" s="617">
        <f>'Chi 2013'!F44/1000</f>
        <v>41589.17195</v>
      </c>
      <c r="F6" s="617">
        <f t="shared" si="0"/>
        <v>93802.8708</v>
      </c>
      <c r="G6" s="586"/>
    </row>
    <row r="7" spans="1:7" ht="15.75" customHeight="1">
      <c r="A7" s="616"/>
      <c r="B7" s="616" t="s">
        <v>489</v>
      </c>
      <c r="C7" s="616" t="s">
        <v>468</v>
      </c>
      <c r="D7" s="617">
        <f>'Chi 2011,2012'!E43/1000</f>
        <v>10069.495</v>
      </c>
      <c r="E7" s="617">
        <f>'Chi 2013'!E44/1000</f>
        <v>15407.081</v>
      </c>
      <c r="F7" s="617">
        <f t="shared" si="0"/>
        <v>25476.576</v>
      </c>
      <c r="G7" s="586"/>
    </row>
    <row r="8" spans="1:7" ht="15.75" customHeight="1">
      <c r="A8" s="618"/>
      <c r="B8" s="593" t="s">
        <v>493</v>
      </c>
      <c r="C8" s="616" t="s">
        <v>468</v>
      </c>
      <c r="D8" s="619">
        <f>'Chi 2011,2012'!G43/1000</f>
        <v>919176.5402899999</v>
      </c>
      <c r="E8" s="619">
        <f>'Chi 2013'!G44/1000</f>
        <v>862421.60965</v>
      </c>
      <c r="F8" s="619">
        <f t="shared" si="0"/>
        <v>1781598.14994</v>
      </c>
      <c r="G8" s="586"/>
    </row>
    <row r="9" spans="1:6" s="585" customFormat="1" ht="15">
      <c r="A9" s="588">
        <v>2</v>
      </c>
      <c r="B9" s="588" t="s">
        <v>492</v>
      </c>
      <c r="C9" s="588" t="s">
        <v>468</v>
      </c>
      <c r="D9" s="589">
        <f>SUM(D10:D13)</f>
        <v>819590.7440000001</v>
      </c>
      <c r="E9" s="589">
        <f>SUM(E10:E13)</f>
        <v>718866.2390000001</v>
      </c>
      <c r="F9" s="590">
        <f t="shared" si="0"/>
        <v>1538456.983</v>
      </c>
    </row>
    <row r="10" spans="1:6" ht="15">
      <c r="A10" s="591"/>
      <c r="B10" s="591" t="s">
        <v>487</v>
      </c>
      <c r="C10" s="591" t="s">
        <v>468</v>
      </c>
      <c r="D10" s="592">
        <f>'Chi 2011,2012'!J43/1000</f>
        <v>58036.939</v>
      </c>
      <c r="E10" s="592">
        <f>'Chi 2013'!J44/1000</f>
        <v>54013.037</v>
      </c>
      <c r="F10" s="592">
        <f t="shared" si="0"/>
        <v>112049.976</v>
      </c>
    </row>
    <row r="11" spans="1:6" ht="15">
      <c r="A11" s="616"/>
      <c r="B11" s="616" t="s">
        <v>488</v>
      </c>
      <c r="C11" s="616" t="s">
        <v>468</v>
      </c>
      <c r="D11" s="617">
        <f>'Chi 2011,2012'!L43/1000</f>
        <v>12367.566</v>
      </c>
      <c r="E11" s="617">
        <f>'Chi 2013'!L44/1000</f>
        <v>4087.15</v>
      </c>
      <c r="F11" s="617">
        <f t="shared" si="0"/>
        <v>16454.716</v>
      </c>
    </row>
    <row r="12" spans="1:6" ht="15">
      <c r="A12" s="616"/>
      <c r="B12" s="616" t="s">
        <v>489</v>
      </c>
      <c r="C12" s="616" t="s">
        <v>468</v>
      </c>
      <c r="D12" s="617">
        <f>'Chi 2011,2012'!K43/1000</f>
        <v>10068.616</v>
      </c>
      <c r="E12" s="617">
        <f>'Chi 2013'!K44/1000</f>
        <v>6691.164</v>
      </c>
      <c r="F12" s="617">
        <f t="shared" si="0"/>
        <v>16759.78</v>
      </c>
    </row>
    <row r="13" spans="1:6" ht="15">
      <c r="A13" s="593"/>
      <c r="B13" s="593" t="s">
        <v>493</v>
      </c>
      <c r="C13" s="616" t="s">
        <v>468</v>
      </c>
      <c r="D13" s="594">
        <f>'Chi 2011,2012'!M43/1000</f>
        <v>739117.623</v>
      </c>
      <c r="E13" s="594">
        <f>'Chi 2013'!M44/1000</f>
        <v>654074.888</v>
      </c>
      <c r="F13" s="594">
        <f>D13+E13</f>
        <v>1393192.511</v>
      </c>
    </row>
    <row r="14" spans="1:6" s="585" customFormat="1" ht="15">
      <c r="A14" s="588">
        <v>3</v>
      </c>
      <c r="B14" s="588" t="s">
        <v>490</v>
      </c>
      <c r="C14" s="588" t="s">
        <v>468</v>
      </c>
      <c r="D14" s="589">
        <f>SUM(D15:D18)</f>
        <v>253152.09899999993</v>
      </c>
      <c r="E14" s="589">
        <f>SUM(E15:E18)</f>
        <v>288956.4447</v>
      </c>
      <c r="F14" s="590">
        <f t="shared" si="0"/>
        <v>542108.5436999999</v>
      </c>
    </row>
    <row r="15" spans="1:21" ht="15">
      <c r="A15" s="591"/>
      <c r="B15" s="591" t="s">
        <v>487</v>
      </c>
      <c r="C15" s="591" t="s">
        <v>468</v>
      </c>
      <c r="D15" s="620">
        <f>D5-D10</f>
        <v>33246.16986000001</v>
      </c>
      <c r="E15" s="592">
        <f>E5-E10</f>
        <v>34391.784100000004</v>
      </c>
      <c r="F15" s="592">
        <f t="shared" si="0"/>
        <v>67637.95396000001</v>
      </c>
      <c r="G15" s="623"/>
      <c r="H15" s="602"/>
      <c r="I15" s="602"/>
      <c r="J15" s="602"/>
      <c r="K15" s="602"/>
      <c r="L15" s="602"/>
      <c r="M15" s="602"/>
      <c r="N15" s="623"/>
      <c r="O15" s="623"/>
      <c r="P15" s="623"/>
      <c r="Q15" s="623"/>
      <c r="R15" s="623"/>
      <c r="S15" s="623"/>
      <c r="T15" s="623"/>
      <c r="U15" s="623"/>
    </row>
    <row r="16" spans="1:21" ht="15">
      <c r="A16" s="616"/>
      <c r="B16" s="616" t="s">
        <v>488</v>
      </c>
      <c r="C16" s="616" t="s">
        <v>468</v>
      </c>
      <c r="D16" s="621">
        <f aca="true" t="shared" si="1" ref="D16:E18">D6-D11</f>
        <v>39846.13285000001</v>
      </c>
      <c r="E16" s="617">
        <f t="shared" si="1"/>
        <v>37502.02195</v>
      </c>
      <c r="F16" s="617">
        <f t="shared" si="0"/>
        <v>77348.15480000002</v>
      </c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</row>
    <row r="17" spans="1:21" s="585" customFormat="1" ht="15">
      <c r="A17" s="616"/>
      <c r="B17" s="616" t="s">
        <v>489</v>
      </c>
      <c r="C17" s="616" t="s">
        <v>468</v>
      </c>
      <c r="D17" s="621">
        <f>D7-D12</f>
        <v>0.8790000000008149</v>
      </c>
      <c r="E17" s="617">
        <f t="shared" si="1"/>
        <v>8715.917000000001</v>
      </c>
      <c r="F17" s="617">
        <f t="shared" si="0"/>
        <v>8716.796000000002</v>
      </c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</row>
    <row r="18" spans="1:21" ht="15">
      <c r="A18" s="618"/>
      <c r="B18" s="618" t="s">
        <v>493</v>
      </c>
      <c r="C18" s="616" t="s">
        <v>468</v>
      </c>
      <c r="D18" s="622">
        <f t="shared" si="1"/>
        <v>180058.9172899999</v>
      </c>
      <c r="E18" s="594">
        <f t="shared" si="1"/>
        <v>208346.72164999996</v>
      </c>
      <c r="F18" s="594">
        <f t="shared" si="0"/>
        <v>388405.63893999986</v>
      </c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</row>
    <row r="19" spans="1:21" s="588" customFormat="1" ht="15">
      <c r="A19" s="588">
        <v>4</v>
      </c>
      <c r="B19" s="660" t="s">
        <v>494</v>
      </c>
      <c r="C19" s="588" t="s">
        <v>495</v>
      </c>
      <c r="D19" s="661">
        <f>D13/D8</f>
        <v>0.8041084499032238</v>
      </c>
      <c r="E19" s="661">
        <f>E13/E8</f>
        <v>0.7584166267186253</v>
      </c>
      <c r="F19" s="661">
        <f>F13/F8</f>
        <v>0.7819903220302061</v>
      </c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</row>
    <row r="20" spans="7:21" ht="15"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</row>
    <row r="21" spans="7:21" ht="15"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</row>
    <row r="22" spans="7:21" ht="15"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</row>
    <row r="23" spans="4:21" ht="15">
      <c r="D23" s="237"/>
      <c r="E23" s="237"/>
      <c r="F23" s="237"/>
      <c r="G23" s="237"/>
      <c r="H23" s="237"/>
      <c r="I23" s="237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</row>
    <row r="24" spans="4:21" ht="15"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</row>
    <row r="25" spans="7:21" ht="15"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Admin</cp:lastModifiedBy>
  <cp:lastPrinted>2016-12-06T10:35:42Z</cp:lastPrinted>
  <dcterms:created xsi:type="dcterms:W3CDTF">2014-04-04T01:56:12Z</dcterms:created>
  <dcterms:modified xsi:type="dcterms:W3CDTF">2016-12-06T10:49:36Z</dcterms:modified>
  <cp:category/>
  <cp:version/>
  <cp:contentType/>
  <cp:contentStatus/>
</cp:coreProperties>
</file>